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oejsmpc\Desktop\"/>
    </mc:Choice>
  </mc:AlternateContent>
  <bookViews>
    <workbookView xWindow="0" yWindow="0" windowWidth="22020" windowHeight="11535"/>
  </bookViews>
  <sheets>
    <sheet name="最早可退休日期" sheetId="8" r:id="rId1"/>
    <sheet name="試算各年退休條件" sheetId="7" r:id="rId2"/>
    <sheet name="年資計算明細" sheetId="9" state="hidden" r:id="rId3"/>
    <sheet name="計算過程" sheetId="1" state="hidden" r:id="rId4"/>
    <sheet name="個人退休時間點比較表" sheetId="4" state="hidden" r:id="rId5"/>
    <sheet name="參照表" sheetId="2" state="hidden" r:id="rId6"/>
    <sheet name="最早退休日期" sheetId="6" state="hidden" r:id="rId7"/>
  </sheets>
  <definedNames>
    <definedName name="Age">計算過程!#REF!</definedName>
    <definedName name="Age_Month">計算過程!$D$7</definedName>
    <definedName name="Age_Year">計算過程!$C$7</definedName>
    <definedName name="Avg_Salary">計算過程!$H$30</definedName>
    <definedName name="Basic_Year">計算過程!$C$12</definedName>
    <definedName name="Case">參照表!$L$23:$N$28</definedName>
    <definedName name="Compensation">計算過程!$G$35</definedName>
    <definedName name="D_Condition">計算過程!#REF!</definedName>
    <definedName name="Earliest_Extention">試算各年退休條件!$BA$1007</definedName>
    <definedName name="Earliest_Full">試算各年退休條件!$BA$1002</definedName>
    <definedName name="Earliest_Reduction">試算各年退休條件!$BA$1003</definedName>
    <definedName name="Extension">計算過程!#REF!</definedName>
    <definedName name="ExtensionOrReduction">計算過程!$I$2</definedName>
    <definedName name="F_Condition">計算過程!#REF!</definedName>
    <definedName name="Floor">計算過程!$K$35</definedName>
    <definedName name="Floor1">計算過程!$K$36</definedName>
    <definedName name="Floor2">計算過程!$K$37</definedName>
    <definedName name="Full_Condition">計算過程!$F$11</definedName>
    <definedName name="Highest_Point">參照表!$L$4:$M$12</definedName>
    <definedName name="Index">參照表!$A$4:$B$51</definedName>
    <definedName name="Insurance_Salary">計算過程!$G$3</definedName>
    <definedName name="Interest">計算過程!$L$22</definedName>
    <definedName name="Interest_Percentage">參照表!$L$15:$M$20</definedName>
    <definedName name="Legal_Age">計算過程!$C$11</definedName>
    <definedName name="Legal_Year">參照表!$D$4:$F$51</definedName>
    <definedName name="Month_Days">參照表!$L$31:$M$42</definedName>
    <definedName name="New_Income">計算過程!$E$37</definedName>
    <definedName name="New_Month">計算過程!$K$6</definedName>
    <definedName name="New_Pension">計算過程!$E$37</definedName>
    <definedName name="New_Year">計算過程!$J$6</definedName>
    <definedName name="Old_Income">計算過程!$E$36</definedName>
    <definedName name="Old_month">計算過程!$K$5</definedName>
    <definedName name="Old_Pension">計算過程!$E$36</definedName>
    <definedName name="Old_Year">計算過程!$J$5</definedName>
    <definedName name="Org_Income">計算過程!$C$35</definedName>
    <definedName name="Public_Salary">計算過程!#REF!</definedName>
    <definedName name="R_Condition">計算過程!#REF!</definedName>
    <definedName name="RandF_Condition">計算過程!$H$11</definedName>
    <definedName name="Reduction">計算過程!#REF!</definedName>
    <definedName name="Reduction_Condition">計算過程!$I$14</definedName>
    <definedName name="Reduction_Rate">計算過程!$I$15</definedName>
    <definedName name="Replacement_Rate">參照表!$Q$4:$AB$29</definedName>
    <definedName name="Retire_Condition">計算過程!$D$11</definedName>
    <definedName name="Retire_Salary">計算過程!$F$19</definedName>
    <definedName name="Salary_Point">參照表!$H$4:$J$34</definedName>
    <definedName name="Tol_Income">計算過程!$E$35</definedName>
    <definedName name="Way">計算過程!$H$1</definedName>
    <definedName name="Working_Month2">計算過程!$K$7</definedName>
    <definedName name="Working_Year">計算過程!$G$7</definedName>
    <definedName name="Working_Year2">計算過程!$J$7</definedName>
    <definedName name="Year_Index">參照表!$A$4:$B$51</definedName>
    <definedName name="Year_Legal">參照表!$D$4:$F$51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G2" i="1"/>
  <c r="C6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7" i="1"/>
  <c r="Q2" i="1"/>
  <c r="Q6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E1013" i="8" l="1"/>
  <c r="E1014" i="8"/>
  <c r="E1015" i="8"/>
  <c r="E1016" i="8"/>
  <c r="E1017" i="8"/>
  <c r="E1018" i="8"/>
  <c r="E1019" i="8"/>
  <c r="E1020" i="8"/>
  <c r="E1021" i="8"/>
  <c r="E1022" i="8"/>
  <c r="E1012" i="8"/>
  <c r="Y2" i="7"/>
  <c r="H1002" i="8"/>
  <c r="I1002" i="8"/>
  <c r="H8" i="6" s="1"/>
  <c r="B2" i="6"/>
  <c r="B1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H9" i="6"/>
  <c r="I9" i="6"/>
  <c r="G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C9" i="6"/>
  <c r="D9" i="6"/>
  <c r="B9" i="6"/>
  <c r="C8" i="6"/>
  <c r="D8" i="6"/>
  <c r="B8" i="6"/>
  <c r="C7" i="6"/>
  <c r="D7" i="6"/>
  <c r="B7" i="6"/>
  <c r="L2" i="1"/>
  <c r="D6" i="1"/>
  <c r="E6" i="1"/>
  <c r="D5" i="1"/>
  <c r="E5" i="1"/>
  <c r="C5" i="1"/>
  <c r="I2" i="1"/>
  <c r="E2" i="1"/>
  <c r="C2" i="1"/>
  <c r="E1" i="1"/>
  <c r="C1" i="1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I11" i="8"/>
  <c r="I12" i="8"/>
  <c r="I13" i="8"/>
  <c r="I14" i="8"/>
  <c r="I15" i="8"/>
  <c r="I16" i="8"/>
  <c r="I17" i="8"/>
  <c r="I18" i="8"/>
  <c r="I19" i="8"/>
  <c r="I10" i="8"/>
  <c r="EA10" i="8"/>
  <c r="EA11" i="8"/>
  <c r="EA12" i="8"/>
  <c r="EA13" i="8"/>
  <c r="EA14" i="8"/>
  <c r="EA15" i="8"/>
  <c r="EA16" i="8"/>
  <c r="EA17" i="8"/>
  <c r="EA18" i="8"/>
  <c r="EA19" i="8"/>
  <c r="EA5" i="8"/>
  <c r="EA6" i="8"/>
  <c r="I8" i="6" l="1"/>
  <c r="G8" i="6"/>
  <c r="E3" i="1"/>
  <c r="F3" i="1" s="1"/>
  <c r="G3" i="1"/>
  <c r="C7" i="1"/>
  <c r="C13" i="1" s="1"/>
  <c r="D7" i="1"/>
  <c r="E7" i="1"/>
  <c r="C9" i="1"/>
  <c r="C11" i="1" s="1"/>
  <c r="E17" i="1"/>
  <c r="F17" i="1"/>
  <c r="D1010" i="8" s="1"/>
  <c r="B19" i="1"/>
  <c r="F19" i="1" s="1"/>
  <c r="D1012" i="8" s="1"/>
  <c r="C19" i="1"/>
  <c r="B20" i="1"/>
  <c r="F20" i="1" s="1"/>
  <c r="D1013" i="8" s="1"/>
  <c r="C20" i="1"/>
  <c r="B21" i="1"/>
  <c r="F21" i="1" s="1"/>
  <c r="D1014" i="8" s="1"/>
  <c r="C21" i="1"/>
  <c r="B22" i="1"/>
  <c r="F22" i="1" s="1"/>
  <c r="D1015" i="8" s="1"/>
  <c r="C22" i="1"/>
  <c r="B23" i="1"/>
  <c r="F23" i="1" s="1"/>
  <c r="D1016" i="8" s="1"/>
  <c r="C23" i="1"/>
  <c r="B24" i="1"/>
  <c r="F24" i="1" s="1"/>
  <c r="D1017" i="8" s="1"/>
  <c r="C24" i="1"/>
  <c r="B25" i="1"/>
  <c r="F25" i="1" s="1"/>
  <c r="D1018" i="8" s="1"/>
  <c r="C25" i="1"/>
  <c r="B26" i="1"/>
  <c r="F26" i="1" s="1"/>
  <c r="D1019" i="8" s="1"/>
  <c r="C26" i="1"/>
  <c r="B27" i="1"/>
  <c r="F27" i="1" s="1"/>
  <c r="D1020" i="8" s="1"/>
  <c r="C27" i="1"/>
  <c r="B28" i="1"/>
  <c r="F28" i="1" s="1"/>
  <c r="D1021" i="8" s="1"/>
  <c r="C28" i="1"/>
  <c r="B29" i="1"/>
  <c r="F29" i="1" s="1"/>
  <c r="D1022" i="8" s="1"/>
  <c r="C29" i="1"/>
  <c r="B30" i="1"/>
  <c r="F30" i="1" s="1"/>
  <c r="D1023" i="8" s="1"/>
  <c r="C30" i="1"/>
  <c r="G30" i="1"/>
  <c r="B31" i="1"/>
  <c r="F31" i="1" s="1"/>
  <c r="D1024" i="8" s="1"/>
  <c r="C31" i="1"/>
  <c r="B32" i="1"/>
  <c r="F32" i="1" s="1"/>
  <c r="D1025" i="8" s="1"/>
  <c r="C32" i="1"/>
  <c r="B33" i="1"/>
  <c r="F33" i="1" s="1"/>
  <c r="D1026" i="8" s="1"/>
  <c r="C33" i="1"/>
  <c r="BD1008" i="7"/>
  <c r="C12" i="1" l="1"/>
  <c r="C10" i="1"/>
  <c r="H27" i="1"/>
  <c r="F1020" i="8" s="1"/>
  <c r="H28" i="1"/>
  <c r="F1021" i="8" s="1"/>
  <c r="H21" i="1"/>
  <c r="F1014" i="8" s="1"/>
  <c r="H29" i="1"/>
  <c r="F1022" i="8" s="1"/>
  <c r="H24" i="1"/>
  <c r="F1017" i="8" s="1"/>
  <c r="H26" i="1"/>
  <c r="F1019" i="8" s="1"/>
  <c r="H22" i="1"/>
  <c r="F1015" i="8" s="1"/>
  <c r="H20" i="1"/>
  <c r="F1013" i="8" s="1"/>
  <c r="H23" i="1"/>
  <c r="H19" i="1"/>
  <c r="F1012" i="8" s="1"/>
  <c r="H25" i="1"/>
  <c r="F1018" i="8" s="1"/>
  <c r="H30" i="1" l="1"/>
  <c r="F1023" i="8" s="1"/>
  <c r="F1016" i="8"/>
  <c r="AK6" i="7" l="1"/>
  <c r="AK8" i="7" s="1"/>
  <c r="AK10" i="7" s="1"/>
  <c r="AK12" i="7" s="1"/>
  <c r="AK14" i="7" s="1"/>
  <c r="AK16" i="7" s="1"/>
  <c r="AK18" i="7" s="1"/>
  <c r="AK20" i="7" s="1"/>
  <c r="AK22" i="7" s="1"/>
  <c r="AK24" i="7" s="1"/>
  <c r="AK26" i="7" s="1"/>
  <c r="AK28" i="7" s="1"/>
  <c r="AK30" i="7" s="1"/>
  <c r="AK32" i="7" s="1"/>
  <c r="AK34" i="7" s="1"/>
  <c r="AK36" i="7" s="1"/>
  <c r="AK38" i="7" s="1"/>
  <c r="AK40" i="7" s="1"/>
  <c r="AK42" i="7" s="1"/>
  <c r="AK44" i="7" s="1"/>
  <c r="AK46" i="7" s="1"/>
  <c r="AK48" i="7" s="1"/>
  <c r="AK50" i="7" s="1"/>
  <c r="AK52" i="7" s="1"/>
  <c r="AK54" i="7" s="1"/>
  <c r="AK56" i="7" s="1"/>
  <c r="AK58" i="7" s="1"/>
  <c r="AK60" i="7" s="1"/>
  <c r="AK62" i="7" s="1"/>
  <c r="AK64" i="7" s="1"/>
  <c r="AK66" i="7" s="1"/>
  <c r="AK68" i="7" s="1"/>
  <c r="AK70" i="7" s="1"/>
  <c r="AK72" i="7" s="1"/>
  <c r="AK5" i="7"/>
  <c r="AK7" i="7" s="1"/>
  <c r="AK9" i="7" s="1"/>
  <c r="AK11" i="7" s="1"/>
  <c r="AK13" i="7" s="1"/>
  <c r="AK15" i="7" s="1"/>
  <c r="AK17" i="7" s="1"/>
  <c r="AK19" i="7" s="1"/>
  <c r="AK21" i="7" s="1"/>
  <c r="AK23" i="7" s="1"/>
  <c r="AK25" i="7" s="1"/>
  <c r="AK27" i="7" s="1"/>
  <c r="AK29" i="7" s="1"/>
  <c r="AK31" i="7" s="1"/>
  <c r="AK33" i="7" s="1"/>
  <c r="AK35" i="7" s="1"/>
  <c r="AK37" i="7" s="1"/>
  <c r="AK39" i="7" s="1"/>
  <c r="AK41" i="7" s="1"/>
  <c r="AK43" i="7" s="1"/>
  <c r="AK45" i="7" s="1"/>
  <c r="AK47" i="7" s="1"/>
  <c r="AK49" i="7" s="1"/>
  <c r="AK51" i="7" s="1"/>
  <c r="AK53" i="7" s="1"/>
  <c r="AK55" i="7" s="1"/>
  <c r="AK57" i="7" s="1"/>
  <c r="AK59" i="7" s="1"/>
  <c r="AK61" i="7" s="1"/>
  <c r="AK63" i="7" s="1"/>
  <c r="Z1000" i="7"/>
  <c r="AK65" i="7" l="1"/>
  <c r="AK74" i="7"/>
  <c r="AK67" i="7" l="1"/>
  <c r="AK76" i="7"/>
  <c r="AD18" i="6"/>
  <c r="AA18" i="6"/>
  <c r="AD14" i="6"/>
  <c r="AD15" i="6"/>
  <c r="AA14" i="6"/>
  <c r="AA15" i="6"/>
  <c r="AK78" i="7" l="1"/>
  <c r="AK69" i="7"/>
  <c r="U13" i="6"/>
  <c r="U14" i="6"/>
  <c r="T13" i="6"/>
  <c r="T14" i="6"/>
  <c r="S13" i="6"/>
  <c r="S14" i="6"/>
  <c r="X14" i="6" s="1"/>
  <c r="T17" i="6"/>
  <c r="U17" i="6"/>
  <c r="W17" i="6" s="1"/>
  <c r="T18" i="6"/>
  <c r="U18" i="6"/>
  <c r="W18" i="6" s="1"/>
  <c r="U16" i="6"/>
  <c r="T16" i="6"/>
  <c r="S17" i="6"/>
  <c r="S18" i="6"/>
  <c r="V18" i="6" s="1"/>
  <c r="S16" i="6"/>
  <c r="N17" i="6"/>
  <c r="O17" i="6"/>
  <c r="N18" i="6"/>
  <c r="O18" i="6"/>
  <c r="O16" i="6"/>
  <c r="N16" i="6"/>
  <c r="M17" i="6"/>
  <c r="M18" i="6"/>
  <c r="P18" i="6" s="1"/>
  <c r="M16" i="6"/>
  <c r="O14" i="6"/>
  <c r="Q14" i="6" s="1"/>
  <c r="O15" i="6"/>
  <c r="Q15" i="6" s="1"/>
  <c r="M14" i="6"/>
  <c r="P14" i="6" s="1"/>
  <c r="M15" i="6"/>
  <c r="P15" i="6" s="1"/>
  <c r="N14" i="6"/>
  <c r="N15" i="6"/>
  <c r="AB14" i="6"/>
  <c r="AB15" i="6"/>
  <c r="AB18" i="6"/>
  <c r="Y14" i="6"/>
  <c r="Y15" i="6"/>
  <c r="Y18" i="6"/>
  <c r="V17" i="6" l="1"/>
  <c r="P17" i="6"/>
  <c r="Q18" i="6"/>
  <c r="AK71" i="7"/>
  <c r="AK80" i="7"/>
  <c r="Q17" i="6"/>
  <c r="V16" i="6"/>
  <c r="W16" i="6" s="1"/>
  <c r="P16" i="6"/>
  <c r="Q16" i="6" s="1"/>
  <c r="X13" i="6"/>
  <c r="V13" i="6"/>
  <c r="W13" i="6" s="1"/>
  <c r="V14" i="6"/>
  <c r="W14" i="6"/>
  <c r="AC14" i="6"/>
  <c r="AC15" i="6"/>
  <c r="AC18" i="6"/>
  <c r="Z14" i="6"/>
  <c r="Z15" i="6"/>
  <c r="Z18" i="6"/>
  <c r="F8" i="6"/>
  <c r="E8" i="6"/>
  <c r="K8" i="6"/>
  <c r="J8" i="6"/>
  <c r="K18" i="6"/>
  <c r="X18" i="6" s="1"/>
  <c r="K17" i="6"/>
  <c r="X17" i="6" s="1"/>
  <c r="K16" i="6"/>
  <c r="X16" i="6" s="1"/>
  <c r="K15" i="6"/>
  <c r="R15" i="6" s="1"/>
  <c r="K14" i="6"/>
  <c r="R14" i="6" s="1"/>
  <c r="K13" i="6"/>
  <c r="O13" i="6" s="1"/>
  <c r="K12" i="6"/>
  <c r="O12" i="6" s="1"/>
  <c r="K11" i="6"/>
  <c r="O11" i="6" s="1"/>
  <c r="K10" i="6"/>
  <c r="O10" i="6" s="1"/>
  <c r="K9" i="6"/>
  <c r="O9" i="6" s="1"/>
  <c r="F10" i="6"/>
  <c r="U9" i="6" s="1"/>
  <c r="F11" i="6"/>
  <c r="U10" i="6" s="1"/>
  <c r="F12" i="6"/>
  <c r="U11" i="6" s="1"/>
  <c r="F13" i="6"/>
  <c r="U12" i="6" s="1"/>
  <c r="F14" i="6"/>
  <c r="F15" i="6"/>
  <c r="F16" i="6"/>
  <c r="F17" i="6"/>
  <c r="R17" i="6" s="1"/>
  <c r="F18" i="6"/>
  <c r="R18" i="6" s="1"/>
  <c r="F9" i="6"/>
  <c r="U8" i="6" s="1"/>
  <c r="J18" i="6"/>
  <c r="J17" i="6"/>
  <c r="J16" i="6"/>
  <c r="J15" i="6"/>
  <c r="J14" i="6"/>
  <c r="J13" i="6"/>
  <c r="J12" i="6"/>
  <c r="J11" i="6"/>
  <c r="J10" i="6"/>
  <c r="J9" i="6"/>
  <c r="E10" i="6"/>
  <c r="E11" i="6"/>
  <c r="E12" i="6"/>
  <c r="E13" i="6"/>
  <c r="E14" i="6"/>
  <c r="E15" i="6"/>
  <c r="E16" i="6"/>
  <c r="E17" i="6"/>
  <c r="E18" i="6"/>
  <c r="E9" i="6"/>
  <c r="AA17" i="6" l="1"/>
  <c r="AD17" i="6"/>
  <c r="AB17" i="6"/>
  <c r="Y17" i="6"/>
  <c r="Z17" i="6"/>
  <c r="AC17" i="6"/>
  <c r="AK82" i="7"/>
  <c r="AK73" i="7"/>
  <c r="AE14" i="6"/>
  <c r="T15" i="6"/>
  <c r="U15" i="6"/>
  <c r="R16" i="6"/>
  <c r="S15" i="6"/>
  <c r="AD13" i="6"/>
  <c r="AA13" i="6"/>
  <c r="M13" i="6"/>
  <c r="N13" i="6"/>
  <c r="S12" i="6"/>
  <c r="T12" i="6"/>
  <c r="M12" i="6"/>
  <c r="P12" i="6" s="1"/>
  <c r="Q12" i="6" s="1"/>
  <c r="N12" i="6"/>
  <c r="S11" i="6"/>
  <c r="T11" i="6"/>
  <c r="M11" i="6"/>
  <c r="P11" i="6" s="1"/>
  <c r="Q11" i="6" s="1"/>
  <c r="N11" i="6"/>
  <c r="S10" i="6"/>
  <c r="T10" i="6"/>
  <c r="M10" i="6"/>
  <c r="N10" i="6"/>
  <c r="S9" i="6"/>
  <c r="T9" i="6"/>
  <c r="M9" i="6"/>
  <c r="N9" i="6"/>
  <c r="S8" i="6"/>
  <c r="T8" i="6"/>
  <c r="AK75" i="7" l="1"/>
  <c r="AK84" i="7"/>
  <c r="V15" i="6"/>
  <c r="W15" i="6" s="1"/>
  <c r="X15" i="6"/>
  <c r="X10" i="6"/>
  <c r="R13" i="6"/>
  <c r="Y13" i="6" s="1"/>
  <c r="P13" i="6"/>
  <c r="X12" i="6"/>
  <c r="V12" i="6"/>
  <c r="W12" i="6" s="1"/>
  <c r="R12" i="6"/>
  <c r="V11" i="6"/>
  <c r="W11" i="6" s="1"/>
  <c r="X11" i="6"/>
  <c r="P10" i="6"/>
  <c r="Q10" i="6" s="1"/>
  <c r="P9" i="6"/>
  <c r="Q9" i="6" s="1"/>
  <c r="V10" i="6"/>
  <c r="W10" i="6" s="1"/>
  <c r="V9" i="6"/>
  <c r="W9" i="6" s="1"/>
  <c r="X9" i="6"/>
  <c r="V8" i="6"/>
  <c r="W8" i="6" s="1"/>
  <c r="Q7" i="6"/>
  <c r="P7" i="6"/>
  <c r="V7" i="6"/>
  <c r="W7" i="6" s="1"/>
  <c r="X7" i="6"/>
  <c r="AA16" i="6" s="1"/>
  <c r="R7" i="6"/>
  <c r="AB16" i="6" s="1"/>
  <c r="N8" i="6"/>
  <c r="O8" i="6"/>
  <c r="M8" i="6"/>
  <c r="E29" i="6"/>
  <c r="F29" i="6"/>
  <c r="E30" i="6"/>
  <c r="F30" i="6"/>
  <c r="AB1000" i="7"/>
  <c r="AA1000" i="7"/>
  <c r="AF1000" i="7" l="1"/>
  <c r="AK77" i="7"/>
  <c r="AC16" i="6"/>
  <c r="AD16" i="6"/>
  <c r="Y16" i="6"/>
  <c r="Z16" i="6"/>
  <c r="AD11" i="6"/>
  <c r="AA11" i="6"/>
  <c r="AA12" i="6"/>
  <c r="AD12" i="6"/>
  <c r="Y12" i="6"/>
  <c r="Z13" i="6"/>
  <c r="Q13" i="6"/>
  <c r="AC13" i="6"/>
  <c r="AB12" i="6"/>
  <c r="Z12" i="6"/>
  <c r="AC12" i="6"/>
  <c r="R11" i="6"/>
  <c r="R8" i="6"/>
  <c r="R9" i="6"/>
  <c r="AD9" i="6" s="1"/>
  <c r="P8" i="6"/>
  <c r="Q8" i="6" s="1"/>
  <c r="AK79" i="7" l="1"/>
  <c r="AE15" i="6"/>
  <c r="AA9" i="6"/>
  <c r="AB13" i="6"/>
  <c r="AE13" i="6" s="1"/>
  <c r="Y11" i="6"/>
  <c r="AB11" i="6"/>
  <c r="AB9" i="6"/>
  <c r="Y9" i="6"/>
  <c r="AC11" i="6"/>
  <c r="Z11" i="6"/>
  <c r="R10" i="6"/>
  <c r="Z1002" i="7" s="1"/>
  <c r="X8" i="6"/>
  <c r="AK81" i="7" l="1"/>
  <c r="AA10" i="6"/>
  <c r="AD10" i="6"/>
  <c r="AA1002" i="7"/>
  <c r="AC1002" i="7" s="1"/>
  <c r="AB1002" i="7"/>
  <c r="AE11" i="6"/>
  <c r="AE12" i="6"/>
  <c r="AD8" i="6"/>
  <c r="AA8" i="6"/>
  <c r="Y10" i="6"/>
  <c r="AB10" i="6"/>
  <c r="AB8" i="6"/>
  <c r="Y8" i="6"/>
  <c r="Z10" i="6"/>
  <c r="AC10" i="6"/>
  <c r="Z8" i="6"/>
  <c r="AC8" i="6"/>
  <c r="AK83" i="7" l="1"/>
  <c r="AA20" i="6"/>
  <c r="AD1002" i="7"/>
  <c r="AE10" i="6"/>
  <c r="AC9" i="6"/>
  <c r="AC19" i="6" s="1"/>
  <c r="AD19" i="6"/>
  <c r="D1006" i="8" s="1"/>
  <c r="I6" i="1" s="1"/>
  <c r="Z9" i="6"/>
  <c r="Z20" i="6" s="1"/>
  <c r="AA19" i="6"/>
  <c r="D1005" i="8" s="1"/>
  <c r="I5" i="1" s="1"/>
  <c r="AB19" i="6" l="1"/>
  <c r="AE9" i="6"/>
  <c r="I7" i="1"/>
  <c r="AE8" i="6"/>
  <c r="Y20" i="6"/>
  <c r="Y19" i="6"/>
  <c r="B1005" i="8" s="1"/>
  <c r="G5" i="1" s="1"/>
  <c r="AA21" i="6"/>
  <c r="Z19" i="6"/>
  <c r="C1005" i="8" s="1"/>
  <c r="H5" i="1" s="1"/>
  <c r="AB20" i="6" l="1"/>
  <c r="AC20" i="6"/>
  <c r="AD20" i="6"/>
  <c r="AD21" i="6" s="1"/>
  <c r="C1006" i="8"/>
  <c r="H6" i="1" s="1"/>
  <c r="K6" i="1" s="1"/>
  <c r="B1006" i="8"/>
  <c r="G6" i="1" s="1"/>
  <c r="L20" i="1"/>
  <c r="L21" i="1" s="1"/>
  <c r="K5" i="1"/>
  <c r="J5" i="1"/>
  <c r="AA22" i="6"/>
  <c r="Y21" i="6" l="1"/>
  <c r="Z21" i="6"/>
  <c r="Z22" i="6" s="1"/>
  <c r="G7" i="1"/>
  <c r="D15" i="1" s="1"/>
  <c r="H7" i="1"/>
  <c r="J6" i="1"/>
  <c r="J7" i="1" s="1"/>
  <c r="L5" i="1"/>
  <c r="AC21" i="6"/>
  <c r="AA1001" i="7" s="1"/>
  <c r="AB21" i="6"/>
  <c r="X22" i="6" s="1"/>
  <c r="AB1001" i="7"/>
  <c r="AD22" i="6"/>
  <c r="AB1003" i="7" s="1"/>
  <c r="B3" i="4"/>
  <c r="C3" i="4" s="1"/>
  <c r="D3" i="4" s="1"/>
  <c r="E3" i="4" s="1"/>
  <c r="F3" i="4" s="1"/>
  <c r="G3" i="4" s="1"/>
  <c r="H3" i="4" s="1"/>
  <c r="I3" i="4" s="1"/>
  <c r="J3" i="4" s="1"/>
  <c r="K3" i="4" s="1"/>
  <c r="L3" i="4" s="1"/>
  <c r="C15" i="1" l="1"/>
  <c r="C14" i="1"/>
  <c r="G15" i="1"/>
  <c r="K7" i="1"/>
  <c r="K37" i="1" s="1"/>
  <c r="F15" i="1"/>
  <c r="G8" i="1"/>
  <c r="E15" i="1"/>
  <c r="D11" i="1" s="1"/>
  <c r="L26" i="1"/>
  <c r="AN2" i="7"/>
  <c r="AO2" i="7"/>
  <c r="AN42" i="7"/>
  <c r="AO43" i="7"/>
  <c r="AO45" i="7"/>
  <c r="AN47" i="7"/>
  <c r="AN49" i="7"/>
  <c r="AO50" i="7"/>
  <c r="AN52" i="7"/>
  <c r="AN54" i="7"/>
  <c r="AN56" i="7"/>
  <c r="AN58" i="7"/>
  <c r="AN60" i="7"/>
  <c r="AN62" i="7"/>
  <c r="AN64" i="7"/>
  <c r="AN66" i="7"/>
  <c r="AN68" i="7"/>
  <c r="AN70" i="7"/>
  <c r="AN72" i="7"/>
  <c r="AN74" i="7"/>
  <c r="AN76" i="7"/>
  <c r="AN78" i="7"/>
  <c r="AN80" i="7"/>
  <c r="AN82" i="7"/>
  <c r="AN84" i="7"/>
  <c r="AN43" i="7"/>
  <c r="AO83" i="7"/>
  <c r="AN41" i="7"/>
  <c r="AO42" i="7"/>
  <c r="AN44" i="7"/>
  <c r="AO47" i="7"/>
  <c r="AO49" i="7"/>
  <c r="AN51" i="7"/>
  <c r="AO52" i="7"/>
  <c r="AO54" i="7"/>
  <c r="AO56" i="7"/>
  <c r="AO58" i="7"/>
  <c r="AO60" i="7"/>
  <c r="AO62" i="7"/>
  <c r="AO64" i="7"/>
  <c r="AO66" i="7"/>
  <c r="AO68" i="7"/>
  <c r="AO70" i="7"/>
  <c r="AO72" i="7"/>
  <c r="AO74" i="7"/>
  <c r="AO76" i="7"/>
  <c r="AO78" i="7"/>
  <c r="AO80" i="7"/>
  <c r="AO82" i="7"/>
  <c r="AO84" i="7"/>
  <c r="AO53" i="7"/>
  <c r="AO57" i="7"/>
  <c r="AO67" i="7"/>
  <c r="AO71" i="7"/>
  <c r="AO75" i="7"/>
  <c r="AO79" i="7"/>
  <c r="AO81" i="7"/>
  <c r="AO41" i="7"/>
  <c r="AO44" i="7"/>
  <c r="AN46" i="7"/>
  <c r="AN48" i="7"/>
  <c r="AO51" i="7"/>
  <c r="AN53" i="7"/>
  <c r="AN55" i="7"/>
  <c r="AN57" i="7"/>
  <c r="AN59" i="7"/>
  <c r="AN61" i="7"/>
  <c r="AN63" i="7"/>
  <c r="AN65" i="7"/>
  <c r="AN67" i="7"/>
  <c r="AN69" i="7"/>
  <c r="AN71" i="7"/>
  <c r="AN73" i="7"/>
  <c r="AN75" i="7"/>
  <c r="AN77" i="7"/>
  <c r="AN79" i="7"/>
  <c r="AN81" i="7"/>
  <c r="AN83" i="7"/>
  <c r="AN45" i="7"/>
  <c r="AO46" i="7"/>
  <c r="AO48" i="7"/>
  <c r="AN50" i="7"/>
  <c r="AO55" i="7"/>
  <c r="AO59" i="7"/>
  <c r="AO61" i="7"/>
  <c r="AO63" i="7"/>
  <c r="AO65" i="7"/>
  <c r="AO69" i="7"/>
  <c r="AO73" i="7"/>
  <c r="AO77" i="7"/>
  <c r="Y22" i="6"/>
  <c r="U22" i="6"/>
  <c r="AC22" i="6"/>
  <c r="AA1003" i="7" s="1"/>
  <c r="AA1004" i="7" s="1"/>
  <c r="Z1001" i="7"/>
  <c r="AB22" i="6"/>
  <c r="Z1003" i="7" s="1"/>
  <c r="AO17" i="7"/>
  <c r="AO4" i="7"/>
  <c r="AO32" i="7"/>
  <c r="AO23" i="7"/>
  <c r="AO8" i="7"/>
  <c r="AO24" i="7"/>
  <c r="AO37" i="7"/>
  <c r="AO30" i="7"/>
  <c r="AO38" i="7"/>
  <c r="AO28" i="7"/>
  <c r="AO16" i="7"/>
  <c r="AO7" i="7"/>
  <c r="AO14" i="7"/>
  <c r="AO11" i="7"/>
  <c r="AO31" i="7"/>
  <c r="AO40" i="7"/>
  <c r="AO22" i="7"/>
  <c r="AO27" i="7"/>
  <c r="AO33" i="7"/>
  <c r="AO25" i="7"/>
  <c r="AO34" i="7"/>
  <c r="AO29" i="7"/>
  <c r="AO21" i="7"/>
  <c r="AO13" i="7"/>
  <c r="AO12" i="7"/>
  <c r="AO9" i="7"/>
  <c r="AO10" i="7"/>
  <c r="AO18" i="7"/>
  <c r="AO35" i="7"/>
  <c r="AO19" i="7"/>
  <c r="AO36" i="7"/>
  <c r="AO26" i="7"/>
  <c r="AO3" i="7"/>
  <c r="AO15" i="7"/>
  <c r="AO6" i="7"/>
  <c r="AO39" i="7"/>
  <c r="AO20" i="7"/>
  <c r="AO5" i="7"/>
  <c r="AN10" i="7"/>
  <c r="AN31" i="7"/>
  <c r="AN5" i="7"/>
  <c r="AN37" i="7"/>
  <c r="AN29" i="7"/>
  <c r="AN25" i="7"/>
  <c r="AN39" i="7"/>
  <c r="AN14" i="7"/>
  <c r="AN26" i="7"/>
  <c r="AN21" i="7"/>
  <c r="AN20" i="7"/>
  <c r="AN19" i="7"/>
  <c r="AN6" i="7"/>
  <c r="AN3" i="7"/>
  <c r="AN32" i="7"/>
  <c r="AN28" i="7"/>
  <c r="AN27" i="7"/>
  <c r="AN30" i="7"/>
  <c r="AN15" i="7"/>
  <c r="AN13" i="7"/>
  <c r="AN24" i="7"/>
  <c r="AN23" i="7"/>
  <c r="AN36" i="7"/>
  <c r="AN11" i="7"/>
  <c r="AN34" i="7"/>
  <c r="AN4" i="7"/>
  <c r="AN9" i="7"/>
  <c r="AN12" i="7"/>
  <c r="AN33" i="7"/>
  <c r="AN16" i="7"/>
  <c r="AN40" i="7"/>
  <c r="AN35" i="7"/>
  <c r="AN17" i="7"/>
  <c r="AN38" i="7"/>
  <c r="AN22" i="7"/>
  <c r="AN18" i="7"/>
  <c r="AN8" i="7"/>
  <c r="AN7" i="7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F11" i="1" l="1"/>
  <c r="I14" i="1" s="1"/>
  <c r="I15" i="1" s="1"/>
  <c r="AA1005" i="7"/>
  <c r="Z1004" i="7"/>
  <c r="AC1004" i="7" s="1"/>
  <c r="AD1004" i="7" s="1"/>
  <c r="Z1005" i="7"/>
  <c r="H11" i="1" l="1"/>
  <c r="J2" i="1" s="1"/>
  <c r="G1008" i="8" s="1"/>
  <c r="AC1005" i="7"/>
  <c r="AD1005" i="7" s="1"/>
  <c r="Z1006" i="7" s="1"/>
  <c r="H1" i="1" l="1"/>
  <c r="AA1007" i="7"/>
  <c r="Z1007" i="7"/>
  <c r="AL2" i="7" s="1"/>
  <c r="AM2" i="7" s="1"/>
  <c r="AB1007" i="7"/>
  <c r="G29" i="6"/>
  <c r="A41" i="1" l="1"/>
  <c r="A1033" i="8" s="1"/>
  <c r="G35" i="1"/>
  <c r="C1029" i="8" s="1"/>
  <c r="E37" i="1"/>
  <c r="F36" i="1"/>
  <c r="L22" i="1"/>
  <c r="L18" i="1" s="1"/>
  <c r="L19" i="1" s="1"/>
  <c r="L23" i="1" s="1"/>
  <c r="F37" i="1"/>
  <c r="K35" i="1"/>
  <c r="E1029" i="8" s="1"/>
  <c r="E36" i="1"/>
  <c r="AP2" i="7"/>
  <c r="AQ2" i="7"/>
  <c r="AL48" i="7"/>
  <c r="AM48" i="7" s="1"/>
  <c r="AL44" i="7"/>
  <c r="AM44" i="7" s="1"/>
  <c r="AL42" i="7"/>
  <c r="AM42" i="7" s="1"/>
  <c r="AL46" i="7"/>
  <c r="AM46" i="7" s="1"/>
  <c r="AL41" i="7"/>
  <c r="AM41" i="7" s="1"/>
  <c r="AL43" i="7"/>
  <c r="AM43" i="7" s="1"/>
  <c r="AL50" i="7"/>
  <c r="AM50" i="7" s="1"/>
  <c r="AL52" i="7"/>
  <c r="AM52" i="7" s="1"/>
  <c r="AL54" i="7"/>
  <c r="AM54" i="7" s="1"/>
  <c r="AL45" i="7"/>
  <c r="AM45" i="7" s="1"/>
  <c r="AL56" i="7"/>
  <c r="AM56" i="7" s="1"/>
  <c r="AL47" i="7"/>
  <c r="AM47" i="7" s="1"/>
  <c r="AL58" i="7"/>
  <c r="AM58" i="7" s="1"/>
  <c r="AL49" i="7"/>
  <c r="AM49" i="7" s="1"/>
  <c r="AL60" i="7"/>
  <c r="AM60" i="7" s="1"/>
  <c r="AL51" i="7"/>
  <c r="AM51" i="7" s="1"/>
  <c r="AL62" i="7"/>
  <c r="AM62" i="7" s="1"/>
  <c r="AL53" i="7"/>
  <c r="AM53" i="7" s="1"/>
  <c r="AL55" i="7"/>
  <c r="AM55" i="7" s="1"/>
  <c r="AL64" i="7"/>
  <c r="AM64" i="7" s="1"/>
  <c r="AL57" i="7"/>
  <c r="AM57" i="7" s="1"/>
  <c r="AL66" i="7"/>
  <c r="AM66" i="7" s="1"/>
  <c r="AL59" i="7"/>
  <c r="AM59" i="7" s="1"/>
  <c r="AL68" i="7"/>
  <c r="AM68" i="7" s="1"/>
  <c r="AL61" i="7"/>
  <c r="AM61" i="7" s="1"/>
  <c r="AL70" i="7"/>
  <c r="AM70" i="7" s="1"/>
  <c r="AL72" i="7"/>
  <c r="AM72" i="7" s="1"/>
  <c r="AL63" i="7"/>
  <c r="AM63" i="7" s="1"/>
  <c r="AL65" i="7"/>
  <c r="AM65" i="7" s="1"/>
  <c r="AL74" i="7"/>
  <c r="AM74" i="7" s="1"/>
  <c r="AL76" i="7"/>
  <c r="AM76" i="7" s="1"/>
  <c r="AL67" i="7"/>
  <c r="AM67" i="7" s="1"/>
  <c r="AL69" i="7"/>
  <c r="AM69" i="7" s="1"/>
  <c r="AL78" i="7"/>
  <c r="AM78" i="7" s="1"/>
  <c r="AL80" i="7"/>
  <c r="AM80" i="7" s="1"/>
  <c r="AL71" i="7"/>
  <c r="AM71" i="7" s="1"/>
  <c r="AL82" i="7"/>
  <c r="AM82" i="7" s="1"/>
  <c r="AL73" i="7"/>
  <c r="AM73" i="7" s="1"/>
  <c r="AL84" i="7"/>
  <c r="AM84" i="7" s="1"/>
  <c r="AL75" i="7"/>
  <c r="AM75" i="7" s="1"/>
  <c r="AL77" i="7"/>
  <c r="AM77" i="7" s="1"/>
  <c r="AL79" i="7"/>
  <c r="AM79" i="7" s="1"/>
  <c r="AL81" i="7"/>
  <c r="AM81" i="7" s="1"/>
  <c r="AL83" i="7"/>
  <c r="AM83" i="7" s="1"/>
  <c r="AL7" i="7"/>
  <c r="AL11" i="7"/>
  <c r="AL15" i="7"/>
  <c r="AL23" i="7"/>
  <c r="AL31" i="7"/>
  <c r="AL39" i="7"/>
  <c r="AL21" i="7"/>
  <c r="AL33" i="7"/>
  <c r="AL8" i="7"/>
  <c r="AM8" i="7" s="1"/>
  <c r="AL12" i="7"/>
  <c r="AM12" i="7" s="1"/>
  <c r="AL16" i="7"/>
  <c r="AM16" i="7" s="1"/>
  <c r="AL20" i="7"/>
  <c r="AM20" i="7" s="1"/>
  <c r="AL24" i="7"/>
  <c r="AM24" i="7" s="1"/>
  <c r="AL28" i="7"/>
  <c r="AM28" i="7" s="1"/>
  <c r="AL32" i="7"/>
  <c r="AM32" i="7" s="1"/>
  <c r="AL36" i="7"/>
  <c r="AM36" i="7" s="1"/>
  <c r="AL40" i="7"/>
  <c r="AM40" i="7" s="1"/>
  <c r="AL5" i="7"/>
  <c r="AL13" i="7"/>
  <c r="AL25" i="7"/>
  <c r="AL4" i="7"/>
  <c r="AM4" i="7" s="1"/>
  <c r="AL6" i="7"/>
  <c r="AM6" i="7" s="1"/>
  <c r="AL10" i="7"/>
  <c r="AM10" i="7" s="1"/>
  <c r="AL14" i="7"/>
  <c r="AM14" i="7" s="1"/>
  <c r="AL18" i="7"/>
  <c r="AM18" i="7" s="1"/>
  <c r="AL22" i="7"/>
  <c r="AM22" i="7" s="1"/>
  <c r="AL26" i="7"/>
  <c r="AM26" i="7" s="1"/>
  <c r="AL30" i="7"/>
  <c r="AM30" i="7" s="1"/>
  <c r="AL34" i="7"/>
  <c r="AM34" i="7" s="1"/>
  <c r="AL38" i="7"/>
  <c r="AM38" i="7" s="1"/>
  <c r="AL3" i="7"/>
  <c r="AL19" i="7"/>
  <c r="AL27" i="7"/>
  <c r="AL35" i="7"/>
  <c r="AL9" i="7"/>
  <c r="AL17" i="7"/>
  <c r="AL29" i="7"/>
  <c r="AL37" i="7"/>
  <c r="AC1007" i="7"/>
  <c r="AD1007" i="7" s="1"/>
  <c r="AO1008" i="7" s="1"/>
  <c r="B41" i="1" l="1"/>
  <c r="C41" i="1" s="1"/>
  <c r="C1033" i="8" s="1"/>
  <c r="A42" i="1"/>
  <c r="A43" i="1" s="1"/>
  <c r="A1035" i="8" s="1"/>
  <c r="E35" i="1"/>
  <c r="B1029" i="8" s="1"/>
  <c r="D41" i="1"/>
  <c r="D1033" i="8" s="1"/>
  <c r="I35" i="1"/>
  <c r="D1029" i="8" s="1"/>
  <c r="AR2" i="7"/>
  <c r="AF2" i="7"/>
  <c r="AP83" i="7"/>
  <c r="AQ83" i="7"/>
  <c r="AQ75" i="7"/>
  <c r="AP75" i="7"/>
  <c r="AP71" i="7"/>
  <c r="AQ71" i="7"/>
  <c r="AQ67" i="7"/>
  <c r="AP67" i="7"/>
  <c r="AQ63" i="7"/>
  <c r="AP63" i="7"/>
  <c r="AQ68" i="7"/>
  <c r="AP68" i="7"/>
  <c r="AQ64" i="7"/>
  <c r="AP64" i="7"/>
  <c r="AQ51" i="7"/>
  <c r="AP51" i="7"/>
  <c r="AQ47" i="7"/>
  <c r="AP47" i="7"/>
  <c r="AQ52" i="7"/>
  <c r="AP52" i="7"/>
  <c r="AP46" i="7"/>
  <c r="AQ46" i="7"/>
  <c r="AP81" i="7"/>
  <c r="AQ81" i="7"/>
  <c r="AQ84" i="7"/>
  <c r="AP84" i="7"/>
  <c r="AQ80" i="7"/>
  <c r="AP80" i="7"/>
  <c r="AP76" i="7"/>
  <c r="AQ76" i="7"/>
  <c r="AQ72" i="7"/>
  <c r="AP72" i="7"/>
  <c r="AQ59" i="7"/>
  <c r="AP59" i="7"/>
  <c r="AP55" i="7"/>
  <c r="AQ55" i="7"/>
  <c r="AQ60" i="7"/>
  <c r="AP60" i="7"/>
  <c r="AQ56" i="7"/>
  <c r="AP56" i="7"/>
  <c r="AP50" i="7"/>
  <c r="AQ50" i="7"/>
  <c r="AQ42" i="7"/>
  <c r="AP42" i="7"/>
  <c r="AQ73" i="7"/>
  <c r="AP73" i="7"/>
  <c r="AQ78" i="7"/>
  <c r="AP78" i="7"/>
  <c r="AQ74" i="7"/>
  <c r="AP74" i="7"/>
  <c r="AP70" i="7"/>
  <c r="AQ70" i="7"/>
  <c r="AQ66" i="7"/>
  <c r="AP66" i="7"/>
  <c r="AQ53" i="7"/>
  <c r="AP53" i="7"/>
  <c r="AQ49" i="7"/>
  <c r="AP49" i="7"/>
  <c r="AP45" i="7"/>
  <c r="AQ45" i="7"/>
  <c r="AP43" i="7"/>
  <c r="AQ43" i="7"/>
  <c r="AP44" i="7"/>
  <c r="AQ44" i="7"/>
  <c r="AP79" i="7"/>
  <c r="AQ79" i="7"/>
  <c r="AP77" i="7"/>
  <c r="AQ77" i="7"/>
  <c r="AQ82" i="7"/>
  <c r="AP82" i="7"/>
  <c r="AP69" i="7"/>
  <c r="AQ69" i="7"/>
  <c r="AP65" i="7"/>
  <c r="AQ65" i="7"/>
  <c r="AQ61" i="7"/>
  <c r="AP61" i="7"/>
  <c r="AP57" i="7"/>
  <c r="AQ57" i="7"/>
  <c r="AP62" i="7"/>
  <c r="AQ62" i="7"/>
  <c r="AP58" i="7"/>
  <c r="AQ58" i="7"/>
  <c r="AP54" i="7"/>
  <c r="AQ54" i="7"/>
  <c r="AP41" i="7"/>
  <c r="AQ41" i="7"/>
  <c r="AP48" i="7"/>
  <c r="AQ48" i="7"/>
  <c r="AN1008" i="7"/>
  <c r="AQ12" i="7"/>
  <c r="AP12" i="7"/>
  <c r="AQ38" i="7"/>
  <c r="AP38" i="7"/>
  <c r="AQ14" i="7"/>
  <c r="AP14" i="7"/>
  <c r="AQ8" i="7"/>
  <c r="AP8" i="7"/>
  <c r="AP32" i="7"/>
  <c r="AQ32" i="7"/>
  <c r="AP6" i="7"/>
  <c r="AQ6" i="7"/>
  <c r="AQ28" i="7"/>
  <c r="AP28" i="7"/>
  <c r="AP16" i="7"/>
  <c r="AQ16" i="7"/>
  <c r="AM1008" i="7"/>
  <c r="AP30" i="7"/>
  <c r="AQ30" i="7"/>
  <c r="AP4" i="7"/>
  <c r="AQ4" i="7"/>
  <c r="AP26" i="7"/>
  <c r="AQ26" i="7"/>
  <c r="AQ22" i="7"/>
  <c r="AP22" i="7"/>
  <c r="AQ18" i="7"/>
  <c r="AP18" i="7"/>
  <c r="AQ24" i="7"/>
  <c r="AP24" i="7"/>
  <c r="AQ40" i="7"/>
  <c r="AP40" i="7"/>
  <c r="AP36" i="7"/>
  <c r="AQ36" i="7"/>
  <c r="AQ20" i="7"/>
  <c r="AP20" i="7"/>
  <c r="AP10" i="7"/>
  <c r="AQ10" i="7"/>
  <c r="AP34" i="7"/>
  <c r="AQ34" i="7"/>
  <c r="AD2" i="7" l="1"/>
  <c r="A44" i="1"/>
  <c r="A45" i="1" s="1"/>
  <c r="B43" i="1"/>
  <c r="B1035" i="8" s="1"/>
  <c r="D42" i="1"/>
  <c r="D1034" i="8" s="1"/>
  <c r="D43" i="1"/>
  <c r="D1035" i="8" s="1"/>
  <c r="B1033" i="8"/>
  <c r="B42" i="1"/>
  <c r="C42" i="1" s="1"/>
  <c r="A1034" i="8"/>
  <c r="C35" i="1"/>
  <c r="A1029" i="8" s="1"/>
  <c r="F41" i="1"/>
  <c r="F1033" i="8" s="1"/>
  <c r="AB2" i="7"/>
  <c r="AA2" i="7"/>
  <c r="Z2" i="7"/>
  <c r="AC2" i="7"/>
  <c r="AR82" i="7"/>
  <c r="AR49" i="7"/>
  <c r="AR66" i="7"/>
  <c r="AR74" i="7"/>
  <c r="AR73" i="7"/>
  <c r="AR60" i="7"/>
  <c r="AR59" i="7"/>
  <c r="AR84" i="7"/>
  <c r="AR61" i="7"/>
  <c r="AR53" i="7"/>
  <c r="AR78" i="7"/>
  <c r="AR42" i="7"/>
  <c r="AR56" i="7"/>
  <c r="AR72" i="7"/>
  <c r="AR80" i="7"/>
  <c r="AR52" i="7"/>
  <c r="AR51" i="7"/>
  <c r="AR68" i="7"/>
  <c r="AR67" i="7"/>
  <c r="AR75" i="7"/>
  <c r="AR47" i="7"/>
  <c r="AR64" i="7"/>
  <c r="AR63" i="7"/>
  <c r="AR48" i="7"/>
  <c r="AR54" i="7"/>
  <c r="AR62" i="7"/>
  <c r="AR69" i="7"/>
  <c r="AR77" i="7"/>
  <c r="AR44" i="7"/>
  <c r="AR45" i="7"/>
  <c r="AR70" i="7"/>
  <c r="AR55" i="7"/>
  <c r="AR81" i="7"/>
  <c r="AR41" i="7"/>
  <c r="AR58" i="7"/>
  <c r="AR57" i="7"/>
  <c r="AR65" i="7"/>
  <c r="AR79" i="7"/>
  <c r="AR43" i="7"/>
  <c r="AR50" i="7"/>
  <c r="AR76" i="7"/>
  <c r="AR46" i="7"/>
  <c r="AR71" i="7"/>
  <c r="AR83" i="7"/>
  <c r="AR24" i="7"/>
  <c r="AR22" i="7"/>
  <c r="AR32" i="7"/>
  <c r="AR20" i="7"/>
  <c r="AR40" i="7"/>
  <c r="AR18" i="7"/>
  <c r="AR16" i="7"/>
  <c r="AR6" i="7"/>
  <c r="AR34" i="7"/>
  <c r="AR36" i="7"/>
  <c r="AR4" i="7"/>
  <c r="AR28" i="7"/>
  <c r="AR10" i="7"/>
  <c r="AR26" i="7"/>
  <c r="AR30" i="7"/>
  <c r="AR8" i="7"/>
  <c r="AR14" i="7"/>
  <c r="AR38" i="7"/>
  <c r="AR12" i="7"/>
  <c r="AT2" i="7" l="1"/>
  <c r="AY2" i="7"/>
  <c r="AS4" i="7"/>
  <c r="Y4" i="7" s="1"/>
  <c r="M2" i="7" s="1"/>
  <c r="AS71" i="7"/>
  <c r="Y71" i="7" s="1"/>
  <c r="AS69" i="7"/>
  <c r="AF69" i="7" s="1"/>
  <c r="AS38" i="7"/>
  <c r="Y38" i="7" s="1"/>
  <c r="AS26" i="7"/>
  <c r="Y26" i="7" s="1"/>
  <c r="AS36" i="7"/>
  <c r="AF36" i="7" s="1"/>
  <c r="AS18" i="7"/>
  <c r="Y18" i="7" s="1"/>
  <c r="AS22" i="7"/>
  <c r="AF22" i="7" s="1"/>
  <c r="AS46" i="7"/>
  <c r="AD46" i="7" s="1"/>
  <c r="AS79" i="7"/>
  <c r="AF79" i="7" s="1"/>
  <c r="AS41" i="7"/>
  <c r="Y41" i="7" s="1"/>
  <c r="AS45" i="7"/>
  <c r="AF45" i="7" s="1"/>
  <c r="AS62" i="7"/>
  <c r="AD62" i="7" s="1"/>
  <c r="AS12" i="7"/>
  <c r="AF12" i="7" s="1"/>
  <c r="AS16" i="7"/>
  <c r="AF16" i="7" s="1"/>
  <c r="AS43" i="7"/>
  <c r="AF43" i="7" s="1"/>
  <c r="AS70" i="7"/>
  <c r="AD70" i="7" s="1"/>
  <c r="AS34" i="7"/>
  <c r="AF34" i="7" s="1"/>
  <c r="AS24" i="7"/>
  <c r="AF24" i="7" s="1"/>
  <c r="AS65" i="7"/>
  <c r="AF65" i="7" s="1"/>
  <c r="AS44" i="7"/>
  <c r="AS54" i="7"/>
  <c r="AD54" i="7" s="1"/>
  <c r="AS30" i="7"/>
  <c r="Y30" i="7" s="1"/>
  <c r="AS32" i="7"/>
  <c r="Y32" i="7" s="1"/>
  <c r="AS58" i="7"/>
  <c r="AD58" i="7" s="1"/>
  <c r="AS14" i="7"/>
  <c r="AF14" i="7" s="1"/>
  <c r="AS10" i="7"/>
  <c r="AD10" i="7" s="1"/>
  <c r="AS40" i="7"/>
  <c r="Y40" i="7" s="1"/>
  <c r="AS76" i="7"/>
  <c r="AD76" i="7" s="1"/>
  <c r="AS81" i="7"/>
  <c r="AD81" i="7" s="1"/>
  <c r="AS8" i="7"/>
  <c r="Y8" i="7" s="1"/>
  <c r="AS28" i="7"/>
  <c r="Y28" i="7" s="1"/>
  <c r="AS6" i="7"/>
  <c r="Y6" i="7" s="1"/>
  <c r="AS20" i="7"/>
  <c r="AF20" i="7" s="1"/>
  <c r="AS83" i="7"/>
  <c r="AD83" i="7" s="1"/>
  <c r="AS50" i="7"/>
  <c r="AF50" i="7" s="1"/>
  <c r="AS57" i="7"/>
  <c r="Y57" i="7" s="1"/>
  <c r="AS55" i="7"/>
  <c r="AF55" i="7" s="1"/>
  <c r="AS77" i="7"/>
  <c r="AD77" i="7" s="1"/>
  <c r="AS48" i="7"/>
  <c r="AD48" i="7" s="1"/>
  <c r="C43" i="1"/>
  <c r="C1035" i="8" s="1"/>
  <c r="D44" i="1"/>
  <c r="D1036" i="8" s="1"/>
  <c r="B44" i="1"/>
  <c r="B1036" i="8" s="1"/>
  <c r="A1036" i="8"/>
  <c r="F42" i="1"/>
  <c r="G42" i="1" s="1"/>
  <c r="C1034" i="8"/>
  <c r="B1034" i="8"/>
  <c r="I42" i="1"/>
  <c r="I1034" i="8" s="1"/>
  <c r="I41" i="1"/>
  <c r="I1033" i="8" s="1"/>
  <c r="G41" i="1"/>
  <c r="H41" i="1" s="1"/>
  <c r="H1033" i="8" s="1"/>
  <c r="A1037" i="8"/>
  <c r="A46" i="1"/>
  <c r="B45" i="1"/>
  <c r="D45" i="1"/>
  <c r="AU2" i="7"/>
  <c r="AV2" i="7" s="1"/>
  <c r="AX2" i="7"/>
  <c r="AE2" i="7"/>
  <c r="AZ2" i="7"/>
  <c r="AS75" i="7"/>
  <c r="AS52" i="7"/>
  <c r="AS42" i="7"/>
  <c r="AS84" i="7"/>
  <c r="AS74" i="7"/>
  <c r="AS59" i="7"/>
  <c r="AS63" i="7"/>
  <c r="AS64" i="7"/>
  <c r="AD64" i="7" s="1"/>
  <c r="AS68" i="7"/>
  <c r="AS72" i="7"/>
  <c r="AS53" i="7"/>
  <c r="AS60" i="7"/>
  <c r="AS49" i="7"/>
  <c r="AS67" i="7"/>
  <c r="AS80" i="7"/>
  <c r="AS78" i="7"/>
  <c r="AS66" i="7"/>
  <c r="AS47" i="7"/>
  <c r="AS51" i="7"/>
  <c r="AS56" i="7"/>
  <c r="AS61" i="7"/>
  <c r="AS73" i="7"/>
  <c r="AS82" i="7"/>
  <c r="AA57" i="7" l="1"/>
  <c r="AT64" i="7"/>
  <c r="AA71" i="7"/>
  <c r="AA6" i="7"/>
  <c r="AA40" i="7"/>
  <c r="AA8" i="7"/>
  <c r="AY10" i="7"/>
  <c r="AA30" i="7"/>
  <c r="AA41" i="7"/>
  <c r="AW2" i="7"/>
  <c r="AF38" i="7"/>
  <c r="Y45" i="7"/>
  <c r="AA45" i="7" s="1"/>
  <c r="AF83" i="7"/>
  <c r="Y43" i="7"/>
  <c r="AD45" i="7"/>
  <c r="AD28" i="7"/>
  <c r="Y58" i="7"/>
  <c r="AD40" i="7"/>
  <c r="AF62" i="7"/>
  <c r="AF70" i="7"/>
  <c r="Y22" i="7"/>
  <c r="AD50" i="7"/>
  <c r="Y65" i="7"/>
  <c r="BB2" i="7"/>
  <c r="AF6" i="7"/>
  <c r="Y34" i="7"/>
  <c r="AF18" i="7"/>
  <c r="AF30" i="7"/>
  <c r="AD41" i="7"/>
  <c r="Y16" i="7"/>
  <c r="AD69" i="7"/>
  <c r="Y54" i="7"/>
  <c r="Y12" i="7"/>
  <c r="Y79" i="7"/>
  <c r="Y14" i="7"/>
  <c r="AD71" i="7"/>
  <c r="AF46" i="7"/>
  <c r="Y62" i="7"/>
  <c r="AF57" i="7"/>
  <c r="Y70" i="7"/>
  <c r="Y76" i="7"/>
  <c r="AF26" i="7"/>
  <c r="AF4" i="7"/>
  <c r="T2" i="7" s="1"/>
  <c r="AF40" i="7"/>
  <c r="Y46" i="7"/>
  <c r="AF58" i="7"/>
  <c r="AD43" i="7"/>
  <c r="AD22" i="7"/>
  <c r="Y50" i="7"/>
  <c r="AD65" i="7"/>
  <c r="AD16" i="7"/>
  <c r="Y24" i="7"/>
  <c r="Y10" i="7"/>
  <c r="AF8" i="7"/>
  <c r="Y77" i="7"/>
  <c r="AD30" i="7"/>
  <c r="Y83" i="7"/>
  <c r="AF10" i="7"/>
  <c r="AD24" i="7"/>
  <c r="AF28" i="7"/>
  <c r="AF32" i="7"/>
  <c r="AF48" i="7"/>
  <c r="AF41" i="7"/>
  <c r="Y69" i="7"/>
  <c r="Y36" i="7"/>
  <c r="Y20" i="7"/>
  <c r="Y55" i="7"/>
  <c r="AD79" i="7"/>
  <c r="AF54" i="7"/>
  <c r="Y81" i="7"/>
  <c r="AF71" i="7"/>
  <c r="AD20" i="7"/>
  <c r="AF81" i="7"/>
  <c r="AF47" i="7"/>
  <c r="Y67" i="7"/>
  <c r="Y72" i="7"/>
  <c r="AD59" i="7"/>
  <c r="AD52" i="7"/>
  <c r="AD61" i="7"/>
  <c r="Y49" i="7"/>
  <c r="AD68" i="7"/>
  <c r="Y74" i="7"/>
  <c r="AF75" i="7"/>
  <c r="AD66" i="7"/>
  <c r="Y48" i="7"/>
  <c r="AF77" i="7"/>
  <c r="AD55" i="7"/>
  <c r="AD57" i="7"/>
  <c r="AF76" i="7"/>
  <c r="AF56" i="7"/>
  <c r="Y78" i="7"/>
  <c r="AF60" i="7"/>
  <c r="Y64" i="7"/>
  <c r="AF84" i="7"/>
  <c r="Y82" i="7"/>
  <c r="AD80" i="7"/>
  <c r="AD53" i="7"/>
  <c r="Y63" i="7"/>
  <c r="Y42" i="7"/>
  <c r="I43" i="1"/>
  <c r="I1035" i="8" s="1"/>
  <c r="F43" i="1"/>
  <c r="G43" i="1" s="1"/>
  <c r="F1034" i="8"/>
  <c r="C44" i="1"/>
  <c r="C1036" i="8" s="1"/>
  <c r="G1033" i="8"/>
  <c r="E41" i="1"/>
  <c r="E1033" i="8" s="1"/>
  <c r="C45" i="1"/>
  <c r="C1037" i="8" s="1"/>
  <c r="B1037" i="8"/>
  <c r="G1034" i="8"/>
  <c r="H42" i="1"/>
  <c r="A1038" i="8"/>
  <c r="A47" i="1"/>
  <c r="B46" i="1"/>
  <c r="D46" i="1"/>
  <c r="D1037" i="8"/>
  <c r="AF63" i="7"/>
  <c r="AF53" i="7"/>
  <c r="Y80" i="7"/>
  <c r="AF72" i="7"/>
  <c r="Y53" i="7"/>
  <c r="Y59" i="7"/>
  <c r="AF82" i="7"/>
  <c r="AF67" i="7"/>
  <c r="AF59" i="7"/>
  <c r="AF52" i="7"/>
  <c r="AD49" i="7"/>
  <c r="BA2" i="7"/>
  <c r="Y61" i="7"/>
  <c r="Y75" i="7"/>
  <c r="AD74" i="7"/>
  <c r="AA63" i="7"/>
  <c r="AC38" i="7"/>
  <c r="AA38" i="7"/>
  <c r="AD73" i="7"/>
  <c r="Y73" i="7"/>
  <c r="AF64" i="7"/>
  <c r="AD75" i="7"/>
  <c r="AF74" i="7"/>
  <c r="AD78" i="7"/>
  <c r="AD67" i="7"/>
  <c r="AD63" i="7"/>
  <c r="AD72" i="7"/>
  <c r="AF49" i="7"/>
  <c r="Y60" i="7"/>
  <c r="Y47" i="7"/>
  <c r="AF73" i="7"/>
  <c r="Y56" i="7"/>
  <c r="AD47" i="7"/>
  <c r="AF78" i="7"/>
  <c r="AD60" i="7"/>
  <c r="AD84" i="7"/>
  <c r="Y52" i="7"/>
  <c r="AC18" i="7"/>
  <c r="AA18" i="7"/>
  <c r="Y84" i="7"/>
  <c r="AD51" i="7"/>
  <c r="AF51" i="7"/>
  <c r="Z28" i="7"/>
  <c r="AA28" i="7"/>
  <c r="Z32" i="7"/>
  <c r="AA32" i="7"/>
  <c r="Z26" i="7"/>
  <c r="AA26" i="7"/>
  <c r="AB4" i="7"/>
  <c r="P2" i="7" s="1"/>
  <c r="AA4" i="7"/>
  <c r="O2" i="7" s="1"/>
  <c r="AF68" i="7"/>
  <c r="Y68" i="7"/>
  <c r="AF42" i="7"/>
  <c r="AF80" i="7"/>
  <c r="AF66" i="7"/>
  <c r="Y66" i="7"/>
  <c r="AD42" i="7"/>
  <c r="AD56" i="7"/>
  <c r="AD82" i="7"/>
  <c r="AF61" i="7"/>
  <c r="Y51" i="7"/>
  <c r="AY64" i="7"/>
  <c r="AF44" i="7"/>
  <c r="Y44" i="7"/>
  <c r="AD44" i="7"/>
  <c r="AC6" i="7"/>
  <c r="AB18" i="7"/>
  <c r="AT46" i="7"/>
  <c r="AY46" i="7"/>
  <c r="AT58" i="7"/>
  <c r="AY58" i="7"/>
  <c r="AT48" i="7"/>
  <c r="AY48" i="7"/>
  <c r="AC71" i="7"/>
  <c r="Z71" i="7"/>
  <c r="AB71" i="7"/>
  <c r="AC57" i="7"/>
  <c r="AB57" i="7"/>
  <c r="Z57" i="7"/>
  <c r="AT81" i="7"/>
  <c r="AY81" i="7"/>
  <c r="AY83" i="7"/>
  <c r="AT83" i="7"/>
  <c r="AT54" i="7"/>
  <c r="AY54" i="7"/>
  <c r="AT70" i="7"/>
  <c r="AY70" i="7"/>
  <c r="AY77" i="7"/>
  <c r="AT77" i="7"/>
  <c r="AC41" i="7"/>
  <c r="Z41" i="7"/>
  <c r="AB41" i="7"/>
  <c r="AT62" i="7"/>
  <c r="AY62" i="7"/>
  <c r="AY76" i="7"/>
  <c r="AT76" i="7"/>
  <c r="AB6" i="7"/>
  <c r="AB38" i="7"/>
  <c r="Z18" i="7"/>
  <c r="Z6" i="7"/>
  <c r="AC4" i="7"/>
  <c r="Q2" i="7" s="1"/>
  <c r="Z30" i="7"/>
  <c r="AB8" i="7"/>
  <c r="AC26" i="7"/>
  <c r="AB30" i="7"/>
  <c r="AB26" i="7"/>
  <c r="Z4" i="7"/>
  <c r="N2" i="7" s="1"/>
  <c r="Z8" i="7"/>
  <c r="AC8" i="7"/>
  <c r="AB40" i="7"/>
  <c r="Z38" i="7"/>
  <c r="AB32" i="7"/>
  <c r="AB28" i="7"/>
  <c r="Z40" i="7"/>
  <c r="AC32" i="7"/>
  <c r="AD32" i="7"/>
  <c r="AD12" i="7"/>
  <c r="AD34" i="7"/>
  <c r="AT10" i="7"/>
  <c r="AD4" i="7"/>
  <c r="AD38" i="7"/>
  <c r="AD18" i="7"/>
  <c r="AD6" i="7"/>
  <c r="AD14" i="7"/>
  <c r="AC40" i="7"/>
  <c r="AD8" i="7"/>
  <c r="AC28" i="7"/>
  <c r="AD36" i="7"/>
  <c r="AD26" i="7"/>
  <c r="AC30" i="7"/>
  <c r="C4" i="7" l="1"/>
  <c r="E4" i="7"/>
  <c r="A4" i="7"/>
  <c r="B4" i="7"/>
  <c r="D4" i="7"/>
  <c r="H4" i="7"/>
  <c r="AT36" i="7"/>
  <c r="Z66" i="7"/>
  <c r="AB42" i="7"/>
  <c r="AA78" i="7"/>
  <c r="AY55" i="7"/>
  <c r="AT24" i="7"/>
  <c r="AA77" i="7"/>
  <c r="AY16" i="7"/>
  <c r="AT43" i="7"/>
  <c r="AA65" i="7"/>
  <c r="AY45" i="7"/>
  <c r="AB84" i="7"/>
  <c r="AY78" i="7"/>
  <c r="AC63" i="7"/>
  <c r="AU63" i="7" s="1"/>
  <c r="Z74" i="7"/>
  <c r="AY52" i="7"/>
  <c r="AA81" i="7"/>
  <c r="AA20" i="7"/>
  <c r="AY65" i="7"/>
  <c r="AA62" i="7"/>
  <c r="AA79" i="7"/>
  <c r="AA16" i="7"/>
  <c r="AC34" i="7"/>
  <c r="AE34" i="7" s="1"/>
  <c r="AY50" i="7"/>
  <c r="AT40" i="7"/>
  <c r="AA43" i="7"/>
  <c r="AY14" i="7"/>
  <c r="AY32" i="7"/>
  <c r="AA44" i="7"/>
  <c r="AC52" i="7"/>
  <c r="AE52" i="7" s="1"/>
  <c r="AC60" i="7"/>
  <c r="AE60" i="7" s="1"/>
  <c r="AY67" i="7"/>
  <c r="AT61" i="7"/>
  <c r="AC67" i="7"/>
  <c r="AU67" i="7" s="1"/>
  <c r="AA55" i="7"/>
  <c r="AA14" i="7"/>
  <c r="AT69" i="7"/>
  <c r="AY6" i="7"/>
  <c r="AZ6" i="7"/>
  <c r="AT56" i="7"/>
  <c r="AY72" i="7"/>
  <c r="AT74" i="7"/>
  <c r="AT49" i="7"/>
  <c r="AC80" i="7"/>
  <c r="AE80" i="7" s="1"/>
  <c r="AT53" i="7"/>
  <c r="Z64" i="7"/>
  <c r="AA48" i="7"/>
  <c r="AY68" i="7"/>
  <c r="AY59" i="7"/>
  <c r="AA36" i="7"/>
  <c r="AA83" i="7"/>
  <c r="AA10" i="7"/>
  <c r="AA50" i="7"/>
  <c r="AA46" i="7"/>
  <c r="AA76" i="7"/>
  <c r="AA12" i="7"/>
  <c r="AY41" i="7"/>
  <c r="AB22" i="7"/>
  <c r="AA58" i="7"/>
  <c r="AT4" i="7"/>
  <c r="R2" i="7"/>
  <c r="F4" i="7" s="1"/>
  <c r="AA68" i="7"/>
  <c r="AA61" i="7"/>
  <c r="AA53" i="7"/>
  <c r="AA82" i="7"/>
  <c r="AY18" i="7"/>
  <c r="AY34" i="7"/>
  <c r="AT38" i="7"/>
  <c r="AZ8" i="7"/>
  <c r="AC51" i="7"/>
  <c r="AU51" i="7" s="1"/>
  <c r="AY42" i="7"/>
  <c r="AY63" i="7"/>
  <c r="AY75" i="7"/>
  <c r="Z75" i="7"/>
  <c r="AB59" i="7"/>
  <c r="AY80" i="7"/>
  <c r="AY57" i="7"/>
  <c r="AT66" i="7"/>
  <c r="AB49" i="7"/>
  <c r="AB72" i="7"/>
  <c r="AT20" i="7"/>
  <c r="AY79" i="7"/>
  <c r="AA69" i="7"/>
  <c r="AT30" i="7"/>
  <c r="Z24" i="7"/>
  <c r="AY22" i="7"/>
  <c r="AA70" i="7"/>
  <c r="AT71" i="7"/>
  <c r="AA54" i="7"/>
  <c r="AT28" i="7"/>
  <c r="Z45" i="7"/>
  <c r="AC43" i="7"/>
  <c r="AE43" i="7" s="1"/>
  <c r="AB45" i="7"/>
  <c r="AC45" i="7"/>
  <c r="AB43" i="7"/>
  <c r="Z65" i="7"/>
  <c r="Z43" i="7"/>
  <c r="AC22" i="7"/>
  <c r="Z22" i="7"/>
  <c r="AB58" i="7"/>
  <c r="AC12" i="7"/>
  <c r="AT45" i="7"/>
  <c r="AY28" i="7"/>
  <c r="AE28" i="7"/>
  <c r="BC2" i="7"/>
  <c r="BF2" i="7" s="1"/>
  <c r="Z58" i="7"/>
  <c r="AA22" i="7"/>
  <c r="Z36" i="7"/>
  <c r="AB12" i="7"/>
  <c r="AC58" i="7"/>
  <c r="AC46" i="7"/>
  <c r="AB79" i="7"/>
  <c r="Z16" i="7"/>
  <c r="AY40" i="7"/>
  <c r="AY69" i="7"/>
  <c r="AT59" i="7"/>
  <c r="AC16" i="7"/>
  <c r="Z34" i="7"/>
  <c r="AT65" i="7"/>
  <c r="AT50" i="7"/>
  <c r="AA34" i="7"/>
  <c r="AA74" i="7"/>
  <c r="AB16" i="7"/>
  <c r="AU40" i="7"/>
  <c r="AC79" i="7"/>
  <c r="AB14" i="7"/>
  <c r="AC14" i="7"/>
  <c r="AY43" i="7"/>
  <c r="AC65" i="7"/>
  <c r="AB65" i="7"/>
  <c r="AB69" i="7"/>
  <c r="AY71" i="7"/>
  <c r="Z72" i="7"/>
  <c r="AY20" i="7"/>
  <c r="AT22" i="7"/>
  <c r="AB70" i="7"/>
  <c r="Z54" i="7"/>
  <c r="AB20" i="7"/>
  <c r="AC62" i="7"/>
  <c r="AC70" i="7"/>
  <c r="AB34" i="7"/>
  <c r="AB74" i="7"/>
  <c r="Z63" i="7"/>
  <c r="AB54" i="7"/>
  <c r="Z79" i="7"/>
  <c r="AB81" i="7"/>
  <c r="AC54" i="7"/>
  <c r="Z70" i="7"/>
  <c r="AT79" i="7"/>
  <c r="AA24" i="7"/>
  <c r="Z50" i="7"/>
  <c r="Z76" i="7"/>
  <c r="AB76" i="7"/>
  <c r="AB46" i="7"/>
  <c r="AB50" i="7"/>
  <c r="AT41" i="7"/>
  <c r="Z12" i="7"/>
  <c r="AT68" i="7"/>
  <c r="AC10" i="7"/>
  <c r="AC76" i="7"/>
  <c r="AC50" i="7"/>
  <c r="Z10" i="7"/>
  <c r="Z46" i="7"/>
  <c r="AC48" i="7"/>
  <c r="AY24" i="7"/>
  <c r="Z14" i="7"/>
  <c r="AT55" i="7"/>
  <c r="AB77" i="7"/>
  <c r="AT16" i="7"/>
  <c r="AC77" i="7"/>
  <c r="Z67" i="7"/>
  <c r="Z62" i="7"/>
  <c r="Z77" i="7"/>
  <c r="AC81" i="7"/>
  <c r="AB78" i="7"/>
  <c r="AC82" i="7"/>
  <c r="AC74" i="7"/>
  <c r="AB63" i="7"/>
  <c r="AC20" i="7"/>
  <c r="Z20" i="7"/>
  <c r="AB62" i="7"/>
  <c r="Z81" i="7"/>
  <c r="AT52" i="7"/>
  <c r="AA42" i="7"/>
  <c r="AA64" i="7"/>
  <c r="AC24" i="7"/>
  <c r="AY30" i="7"/>
  <c r="Z69" i="7"/>
  <c r="AT57" i="7"/>
  <c r="AC69" i="7"/>
  <c r="AB10" i="7"/>
  <c r="AB83" i="7"/>
  <c r="AB48" i="7"/>
  <c r="AC83" i="7"/>
  <c r="AB64" i="7"/>
  <c r="AT80" i="7"/>
  <c r="AC64" i="7"/>
  <c r="AY53" i="7"/>
  <c r="AC36" i="7"/>
  <c r="AB36" i="7"/>
  <c r="Z83" i="7"/>
  <c r="Z48" i="7"/>
  <c r="Z49" i="7"/>
  <c r="Z55" i="7"/>
  <c r="AC78" i="7"/>
  <c r="AB82" i="7"/>
  <c r="AB67" i="7"/>
  <c r="AC42" i="7"/>
  <c r="AY61" i="7"/>
  <c r="Z82" i="7"/>
  <c r="AC55" i="7"/>
  <c r="AA67" i="7"/>
  <c r="Z42" i="7"/>
  <c r="AB55" i="7"/>
  <c r="Z78" i="7"/>
  <c r="AC49" i="7"/>
  <c r="AY66" i="7"/>
  <c r="AC72" i="7"/>
  <c r="AA49" i="7"/>
  <c r="AA72" i="7"/>
  <c r="F1035" i="8"/>
  <c r="I44" i="1"/>
  <c r="I1036" i="8" s="1"/>
  <c r="F44" i="1"/>
  <c r="F1036" i="8" s="1"/>
  <c r="L41" i="1"/>
  <c r="L1033" i="8" s="1"/>
  <c r="I45" i="1"/>
  <c r="I1037" i="8" s="1"/>
  <c r="F45" i="1"/>
  <c r="F1037" i="8" s="1"/>
  <c r="D1038" i="8"/>
  <c r="H43" i="1"/>
  <c r="G1035" i="8"/>
  <c r="B1038" i="8"/>
  <c r="C46" i="1"/>
  <c r="C1038" i="8" s="1"/>
  <c r="H1034" i="8"/>
  <c r="E42" i="1"/>
  <c r="A1039" i="8"/>
  <c r="A48" i="1"/>
  <c r="B47" i="1"/>
  <c r="D47" i="1"/>
  <c r="AC59" i="7"/>
  <c r="Z80" i="7"/>
  <c r="Z61" i="7"/>
  <c r="AA59" i="7"/>
  <c r="AT67" i="7"/>
  <c r="Z59" i="7"/>
  <c r="AB80" i="7"/>
  <c r="AA80" i="7"/>
  <c r="AY56" i="7"/>
  <c r="AC75" i="7"/>
  <c r="AB60" i="7"/>
  <c r="AA75" i="7"/>
  <c r="AB75" i="7"/>
  <c r="AT63" i="7"/>
  <c r="AY49" i="7"/>
  <c r="AX38" i="7"/>
  <c r="AT72" i="7"/>
  <c r="Z53" i="7"/>
  <c r="AB53" i="7"/>
  <c r="AC53" i="7"/>
  <c r="AX4" i="7"/>
  <c r="AB61" i="7"/>
  <c r="Z84" i="7"/>
  <c r="AC61" i="7"/>
  <c r="AT78" i="7"/>
  <c r="AT42" i="7"/>
  <c r="AB66" i="7"/>
  <c r="AT75" i="7"/>
  <c r="AY74" i="7"/>
  <c r="AZ38" i="7"/>
  <c r="AZ18" i="7"/>
  <c r="AC68" i="7"/>
  <c r="AT82" i="7"/>
  <c r="AY82" i="7"/>
  <c r="AC47" i="7"/>
  <c r="AA47" i="7"/>
  <c r="Z47" i="7"/>
  <c r="AB47" i="7"/>
  <c r="AT73" i="7"/>
  <c r="AY73" i="7"/>
  <c r="Z68" i="7"/>
  <c r="AA52" i="7"/>
  <c r="AB52" i="7"/>
  <c r="Z52" i="7"/>
  <c r="AY47" i="7"/>
  <c r="AT47" i="7"/>
  <c r="Z60" i="7"/>
  <c r="AA60" i="7"/>
  <c r="AC66" i="7"/>
  <c r="AA66" i="7"/>
  <c r="AT60" i="7"/>
  <c r="AY60" i="7"/>
  <c r="AX18" i="7"/>
  <c r="AB68" i="7"/>
  <c r="AA51" i="7"/>
  <c r="AB51" i="7"/>
  <c r="Z51" i="7"/>
  <c r="AT51" i="7"/>
  <c r="AY51" i="7"/>
  <c r="AC84" i="7"/>
  <c r="AA84" i="7"/>
  <c r="AT84" i="7"/>
  <c r="AY84" i="7"/>
  <c r="AC56" i="7"/>
  <c r="AA56" i="7"/>
  <c r="AB56" i="7"/>
  <c r="Z56" i="7"/>
  <c r="AC73" i="7"/>
  <c r="AA73" i="7"/>
  <c r="AB73" i="7"/>
  <c r="Z73" i="7"/>
  <c r="AT44" i="7"/>
  <c r="AY44" i="7"/>
  <c r="AC44" i="7"/>
  <c r="AB44" i="7"/>
  <c r="Z44" i="7"/>
  <c r="AX6" i="7"/>
  <c r="AZ57" i="7"/>
  <c r="AX57" i="7"/>
  <c r="AZ41" i="7"/>
  <c r="AX41" i="7"/>
  <c r="AU57" i="7"/>
  <c r="AE57" i="7"/>
  <c r="AX71" i="7"/>
  <c r="AU71" i="7"/>
  <c r="AE71" i="7"/>
  <c r="AU41" i="7"/>
  <c r="AE41" i="7"/>
  <c r="AZ71" i="7"/>
  <c r="AZ26" i="7"/>
  <c r="AU26" i="7"/>
  <c r="AX26" i="7"/>
  <c r="AX8" i="7"/>
  <c r="AZ4" i="7"/>
  <c r="AE8" i="7"/>
  <c r="AZ32" i="7"/>
  <c r="AX32" i="7"/>
  <c r="AT12" i="7"/>
  <c r="AT32" i="7"/>
  <c r="AU32" i="7"/>
  <c r="AY4" i="7"/>
  <c r="AU4" i="7"/>
  <c r="AY12" i="7"/>
  <c r="AE32" i="7"/>
  <c r="AE4" i="7"/>
  <c r="AU34" i="7"/>
  <c r="AY38" i="7"/>
  <c r="AE18" i="7"/>
  <c r="AX40" i="7"/>
  <c r="AU18" i="7"/>
  <c r="AT18" i="7"/>
  <c r="AT34" i="7"/>
  <c r="AY36" i="7"/>
  <c r="AE40" i="7"/>
  <c r="AZ40" i="7"/>
  <c r="AE38" i="7"/>
  <c r="AT6" i="7"/>
  <c r="AU38" i="7"/>
  <c r="AE6" i="7"/>
  <c r="AU6" i="7"/>
  <c r="AT14" i="7"/>
  <c r="AU28" i="7"/>
  <c r="AT26" i="7"/>
  <c r="AY26" i="7"/>
  <c r="AU30" i="7"/>
  <c r="AZ30" i="7"/>
  <c r="AE30" i="7"/>
  <c r="AX30" i="7"/>
  <c r="AE26" i="7"/>
  <c r="AX28" i="7"/>
  <c r="AZ28" i="7"/>
  <c r="AU8" i="7"/>
  <c r="AY8" i="7"/>
  <c r="AT8" i="7"/>
  <c r="AB24" i="7"/>
  <c r="AZ63" i="7" l="1"/>
  <c r="AU80" i="7"/>
  <c r="AV80" i="7" s="1"/>
  <c r="AU60" i="7"/>
  <c r="AV60" i="7" s="1"/>
  <c r="BB32" i="7"/>
  <c r="BB6" i="7"/>
  <c r="AE63" i="7"/>
  <c r="AE51" i="7"/>
  <c r="AW51" i="7" s="1"/>
  <c r="AU52" i="7"/>
  <c r="AV52" i="7" s="1"/>
  <c r="BB57" i="7"/>
  <c r="AV40" i="7"/>
  <c r="AV30" i="7"/>
  <c r="AV4" i="7"/>
  <c r="AE67" i="7"/>
  <c r="AW67" i="7" s="1"/>
  <c r="AU43" i="7"/>
  <c r="AV43" i="7" s="1"/>
  <c r="BB18" i="7"/>
  <c r="AV71" i="7"/>
  <c r="BB41" i="7"/>
  <c r="AV28" i="7"/>
  <c r="AV38" i="7"/>
  <c r="AZ43" i="7"/>
  <c r="BB43" i="7" s="1"/>
  <c r="BB63" i="7"/>
  <c r="AW4" i="7"/>
  <c r="BA4" i="7" s="1"/>
  <c r="S2" i="7"/>
  <c r="G4" i="7" s="1"/>
  <c r="AW71" i="7"/>
  <c r="BA71" i="7" s="1"/>
  <c r="AU83" i="7"/>
  <c r="AV83" i="7" s="1"/>
  <c r="AZ62" i="7"/>
  <c r="BB62" i="7" s="1"/>
  <c r="AW30" i="7"/>
  <c r="BA30" i="7" s="1"/>
  <c r="AW6" i="7"/>
  <c r="BA6" i="7" s="1"/>
  <c r="AW18" i="7"/>
  <c r="BA18" i="7" s="1"/>
  <c r="AW32" i="7"/>
  <c r="BA32" i="7" s="1"/>
  <c r="AU56" i="7"/>
  <c r="AV56" i="7" s="1"/>
  <c r="AX51" i="7"/>
  <c r="AZ60" i="7"/>
  <c r="BB60" i="7" s="1"/>
  <c r="AU75" i="7"/>
  <c r="AV75" i="7" s="1"/>
  <c r="AX80" i="7"/>
  <c r="AZ78" i="7"/>
  <c r="BB78" i="7" s="1"/>
  <c r="AU64" i="7"/>
  <c r="AV64" i="7" s="1"/>
  <c r="AX63" i="7"/>
  <c r="AU81" i="7"/>
  <c r="AV81" i="7" s="1"/>
  <c r="AU77" i="7"/>
  <c r="AV77" i="7" s="1"/>
  <c r="AE22" i="7"/>
  <c r="AU45" i="7"/>
  <c r="AV45" i="7" s="1"/>
  <c r="AW57" i="7"/>
  <c r="BA57" i="7" s="1"/>
  <c r="AX60" i="7"/>
  <c r="AU72" i="7"/>
  <c r="AV72" i="7" s="1"/>
  <c r="AX69" i="7"/>
  <c r="AE20" i="7"/>
  <c r="AW20" i="7" s="1"/>
  <c r="AW40" i="7"/>
  <c r="BA40" i="7" s="1"/>
  <c r="AZ51" i="7"/>
  <c r="BB51" i="7" s="1"/>
  <c r="AX52" i="7"/>
  <c r="AZ67" i="7"/>
  <c r="BB67" i="7" s="1"/>
  <c r="AE42" i="7"/>
  <c r="AW42" i="7" s="1"/>
  <c r="AU74" i="7"/>
  <c r="AV74" i="7" s="1"/>
  <c r="AE50" i="7"/>
  <c r="AX34" i="7"/>
  <c r="AU65" i="7"/>
  <c r="AV65" i="7" s="1"/>
  <c r="AU79" i="7"/>
  <c r="AV79" i="7" s="1"/>
  <c r="AZ34" i="7"/>
  <c r="BB34" i="7" s="1"/>
  <c r="AE16" i="7"/>
  <c r="AW16" i="7" s="1"/>
  <c r="AU12" i="7"/>
  <c r="AV12" i="7" s="1"/>
  <c r="AW38" i="7"/>
  <c r="BA38" i="7" s="1"/>
  <c r="AZ80" i="7"/>
  <c r="BB80" i="7" s="1"/>
  <c r="AU10" i="7"/>
  <c r="AV10" i="7" s="1"/>
  <c r="AU54" i="7"/>
  <c r="AV54" i="7" s="1"/>
  <c r="AZ14" i="7"/>
  <c r="BB14" i="7" s="1"/>
  <c r="AE46" i="7"/>
  <c r="AW46" i="7" s="1"/>
  <c r="AW41" i="7"/>
  <c r="BA41" i="7" s="1"/>
  <c r="AW26" i="7"/>
  <c r="BA26" i="7" s="1"/>
  <c r="AW8" i="7"/>
  <c r="BA8" i="7" s="1"/>
  <c r="AZ52" i="7"/>
  <c r="BB52" i="7" s="1"/>
  <c r="AU68" i="7"/>
  <c r="AV68" i="7" s="1"/>
  <c r="AX59" i="7"/>
  <c r="AU55" i="7"/>
  <c r="AV55" i="7" s="1"/>
  <c r="AX67" i="7"/>
  <c r="AZ36" i="7"/>
  <c r="BB36" i="7" s="1"/>
  <c r="AZ82" i="7"/>
  <c r="BB82" i="7" s="1"/>
  <c r="AZ48" i="7"/>
  <c r="BB48" i="7" s="1"/>
  <c r="AU76" i="7"/>
  <c r="AV76" i="7" s="1"/>
  <c r="AU70" i="7"/>
  <c r="AV70" i="7" s="1"/>
  <c r="AW28" i="7"/>
  <c r="BA28" i="7" s="1"/>
  <c r="AX43" i="7"/>
  <c r="AX45" i="7"/>
  <c r="AZ45" i="7"/>
  <c r="BB45" i="7" s="1"/>
  <c r="AE45" i="7"/>
  <c r="AW22" i="7"/>
  <c r="AU22" i="7"/>
  <c r="AV22" i="7" s="1"/>
  <c r="AX22" i="7"/>
  <c r="AW43" i="7"/>
  <c r="AE12" i="7"/>
  <c r="BB28" i="7"/>
  <c r="AX12" i="7"/>
  <c r="AZ12" i="7"/>
  <c r="BB12" i="7" s="1"/>
  <c r="AZ22" i="7"/>
  <c r="BB22" i="7" s="1"/>
  <c r="AI2" i="7"/>
  <c r="AX58" i="7"/>
  <c r="AZ65" i="7"/>
  <c r="BB65" i="7" s="1"/>
  <c r="BH2" i="7"/>
  <c r="AJ2" i="7" s="1"/>
  <c r="BD2" i="7"/>
  <c r="AG2" i="7" s="1"/>
  <c r="BE2" i="7"/>
  <c r="AH2" i="7" s="1"/>
  <c r="BB71" i="7"/>
  <c r="AE58" i="7"/>
  <c r="AU58" i="7"/>
  <c r="AV58" i="7" s="1"/>
  <c r="AZ58" i="7"/>
  <c r="BB58" i="7" s="1"/>
  <c r="AX16" i="7"/>
  <c r="AZ46" i="7"/>
  <c r="BB46" i="7" s="1"/>
  <c r="AE14" i="7"/>
  <c r="AU46" i="7"/>
  <c r="AV46" i="7" s="1"/>
  <c r="AE62" i="7"/>
  <c r="AX62" i="7"/>
  <c r="AU14" i="7"/>
  <c r="AV14" i="7" s="1"/>
  <c r="AZ16" i="7"/>
  <c r="BB16" i="7" s="1"/>
  <c r="AE54" i="7"/>
  <c r="AX46" i="7"/>
  <c r="AU16" i="7"/>
  <c r="AV16" i="7" s="1"/>
  <c r="AE79" i="7"/>
  <c r="AZ79" i="7"/>
  <c r="BB79" i="7" s="1"/>
  <c r="AE65" i="7"/>
  <c r="AX79" i="7"/>
  <c r="AV41" i="7"/>
  <c r="AE70" i="7"/>
  <c r="AE55" i="7"/>
  <c r="AX81" i="7"/>
  <c r="AE76" i="7"/>
  <c r="AU48" i="7"/>
  <c r="AV48" i="7" s="1"/>
  <c r="AZ76" i="7"/>
  <c r="BB76" i="7" s="1"/>
  <c r="AZ55" i="7"/>
  <c r="BB55" i="7" s="1"/>
  <c r="AZ70" i="7"/>
  <c r="BB70" i="7" s="1"/>
  <c r="AX70" i="7"/>
  <c r="AX48" i="7"/>
  <c r="AX20" i="7"/>
  <c r="AX14" i="7"/>
  <c r="BB30" i="7"/>
  <c r="AU36" i="7"/>
  <c r="AV36" i="7" s="1"/>
  <c r="AE48" i="7"/>
  <c r="AX55" i="7"/>
  <c r="AE72" i="7"/>
  <c r="AE36" i="7"/>
  <c r="AE82" i="7"/>
  <c r="AX82" i="7"/>
  <c r="BB40" i="7"/>
  <c r="AW34" i="7"/>
  <c r="AX65" i="7"/>
  <c r="AZ74" i="7"/>
  <c r="BB74" i="7" s="1"/>
  <c r="AX76" i="7"/>
  <c r="AZ24" i="7"/>
  <c r="BB24" i="7" s="1"/>
  <c r="AU50" i="7"/>
  <c r="AV50" i="7" s="1"/>
  <c r="AX74" i="7"/>
  <c r="AE74" i="7"/>
  <c r="AZ50" i="7"/>
  <c r="BB50" i="7" s="1"/>
  <c r="AW63" i="7"/>
  <c r="AE24" i="7"/>
  <c r="AX54" i="7"/>
  <c r="AZ54" i="7"/>
  <c r="BB54" i="7" s="1"/>
  <c r="AX10" i="7"/>
  <c r="AU62" i="7"/>
  <c r="AV62" i="7" s="1"/>
  <c r="AZ77" i="7"/>
  <c r="BB77" i="7" s="1"/>
  <c r="AE77" i="7"/>
  <c r="AX50" i="7"/>
  <c r="AE10" i="7"/>
  <c r="AZ20" i="7"/>
  <c r="BB20" i="7" s="1"/>
  <c r="AU78" i="7"/>
  <c r="AV78" i="7" s="1"/>
  <c r="AX77" i="7"/>
  <c r="AU20" i="7"/>
  <c r="AV20" i="7" s="1"/>
  <c r="AV57" i="7"/>
  <c r="AZ10" i="7"/>
  <c r="BB10" i="7" s="1"/>
  <c r="AU24" i="7"/>
  <c r="AV24" i="7" s="1"/>
  <c r="AU69" i="7"/>
  <c r="AV69" i="7" s="1"/>
  <c r="AU82" i="7"/>
  <c r="AV82" i="7" s="1"/>
  <c r="AX24" i="7"/>
  <c r="AE69" i="7"/>
  <c r="AZ69" i="7"/>
  <c r="BB69" i="7" s="1"/>
  <c r="AZ81" i="7"/>
  <c r="BB81" i="7" s="1"/>
  <c r="AE81" i="7"/>
  <c r="AX72" i="7"/>
  <c r="AX36" i="7"/>
  <c r="AZ42" i="7"/>
  <c r="BB42" i="7" s="1"/>
  <c r="AX42" i="7"/>
  <c r="AZ49" i="7"/>
  <c r="BB49" i="7" s="1"/>
  <c r="AZ83" i="7"/>
  <c r="BB83" i="7" s="1"/>
  <c r="AE83" i="7"/>
  <c r="AX83" i="7"/>
  <c r="AZ72" i="7"/>
  <c r="BB72" i="7" s="1"/>
  <c r="AX78" i="7"/>
  <c r="AX53" i="7"/>
  <c r="AX64" i="7"/>
  <c r="AE49" i="7"/>
  <c r="AE78" i="7"/>
  <c r="AZ64" i="7"/>
  <c r="BB64" i="7" s="1"/>
  <c r="AE64" i="7"/>
  <c r="AU49" i="7"/>
  <c r="AV49" i="7" s="1"/>
  <c r="AX49" i="7"/>
  <c r="AU42" i="7"/>
  <c r="AV42" i="7" s="1"/>
  <c r="AW80" i="7"/>
  <c r="G44" i="1"/>
  <c r="G1036" i="8" s="1"/>
  <c r="K41" i="1"/>
  <c r="K1033" i="8" s="1"/>
  <c r="G45" i="1"/>
  <c r="H45" i="1" s="1"/>
  <c r="H1037" i="8" s="1"/>
  <c r="D1039" i="8"/>
  <c r="L42" i="1"/>
  <c r="L1034" i="8" s="1"/>
  <c r="E1034" i="8"/>
  <c r="B1039" i="8"/>
  <c r="C47" i="1"/>
  <c r="C1039" i="8" s="1"/>
  <c r="A1040" i="8"/>
  <c r="A49" i="1"/>
  <c r="B48" i="1"/>
  <c r="D48" i="1"/>
  <c r="I46" i="1"/>
  <c r="I1038" i="8" s="1"/>
  <c r="H1035" i="8"/>
  <c r="E43" i="1"/>
  <c r="F46" i="1"/>
  <c r="AX75" i="7"/>
  <c r="AE59" i="7"/>
  <c r="AZ59" i="7"/>
  <c r="BB59" i="7" s="1"/>
  <c r="AU59" i="7"/>
  <c r="AV59" i="7" s="1"/>
  <c r="AV67" i="7"/>
  <c r="AE75" i="7"/>
  <c r="AZ75" i="7"/>
  <c r="BB75" i="7" s="1"/>
  <c r="AV63" i="7"/>
  <c r="AW60" i="7"/>
  <c r="AE53" i="7"/>
  <c r="AX66" i="7"/>
  <c r="AZ53" i="7"/>
  <c r="BB53" i="7" s="1"/>
  <c r="AU53" i="7"/>
  <c r="AV53" i="7" s="1"/>
  <c r="AZ61" i="7"/>
  <c r="BB61" i="7" s="1"/>
  <c r="AE61" i="7"/>
  <c r="AU61" i="7"/>
  <c r="AV61" i="7" s="1"/>
  <c r="AX61" i="7"/>
  <c r="AV51" i="7"/>
  <c r="AW52" i="7"/>
  <c r="AE68" i="7"/>
  <c r="AZ68" i="7"/>
  <c r="BB68" i="7" s="1"/>
  <c r="AX68" i="7"/>
  <c r="AX56" i="7"/>
  <c r="AX73" i="7"/>
  <c r="AE56" i="7"/>
  <c r="AZ56" i="7"/>
  <c r="BB56" i="7" s="1"/>
  <c r="AE84" i="7"/>
  <c r="AU84" i="7"/>
  <c r="AV84" i="7" s="1"/>
  <c r="AZ84" i="7"/>
  <c r="BB84" i="7" s="1"/>
  <c r="AX84" i="7"/>
  <c r="AE66" i="7"/>
  <c r="AZ66" i="7"/>
  <c r="BB66" i="7" s="1"/>
  <c r="AU66" i="7"/>
  <c r="AV66" i="7" s="1"/>
  <c r="AE47" i="7"/>
  <c r="AZ47" i="7"/>
  <c r="BB47" i="7" s="1"/>
  <c r="AU47" i="7"/>
  <c r="AV47" i="7" s="1"/>
  <c r="AE73" i="7"/>
  <c r="AU73" i="7"/>
  <c r="AV73" i="7" s="1"/>
  <c r="AZ73" i="7"/>
  <c r="BB73" i="7" s="1"/>
  <c r="AX47" i="7"/>
  <c r="AX44" i="7"/>
  <c r="AU44" i="7"/>
  <c r="AV44" i="7" s="1"/>
  <c r="AE44" i="7"/>
  <c r="AZ44" i="7"/>
  <c r="BB44" i="7" s="1"/>
  <c r="AV26" i="7"/>
  <c r="BB26" i="7"/>
  <c r="BB8" i="7"/>
  <c r="BB38" i="7"/>
  <c r="BB4" i="7"/>
  <c r="AV32" i="7"/>
  <c r="AV34" i="7"/>
  <c r="AV18" i="7"/>
  <c r="AV6" i="7"/>
  <c r="AV8" i="7"/>
  <c r="BC32" i="7" l="1"/>
  <c r="BF32" i="7" s="1"/>
  <c r="BA80" i="7"/>
  <c r="BC80" i="7" s="1"/>
  <c r="BE80" i="7" s="1"/>
  <c r="BG80" i="7" s="1"/>
  <c r="BA34" i="7"/>
  <c r="BC34" i="7" s="1"/>
  <c r="BD34" i="7" s="1"/>
  <c r="AG34" i="7" s="1"/>
  <c r="BC6" i="7"/>
  <c r="BF6" i="7" s="1"/>
  <c r="BC57" i="7"/>
  <c r="BF57" i="7" s="1"/>
  <c r="BC41" i="7"/>
  <c r="BF41" i="7" s="1"/>
  <c r="BA43" i="7"/>
  <c r="BC43" i="7" s="1"/>
  <c r="BF43" i="7" s="1"/>
  <c r="BC18" i="7"/>
  <c r="BF18" i="7" s="1"/>
  <c r="AW61" i="7"/>
  <c r="BA61" i="7" s="1"/>
  <c r="BC61" i="7" s="1"/>
  <c r="BD61" i="7" s="1"/>
  <c r="AG61" i="7" s="1"/>
  <c r="AW69" i="7"/>
  <c r="BA69" i="7" s="1"/>
  <c r="BC69" i="7" s="1"/>
  <c r="BD69" i="7" s="1"/>
  <c r="AG69" i="7" s="1"/>
  <c r="AW53" i="7"/>
  <c r="BA53" i="7" s="1"/>
  <c r="BC53" i="7" s="1"/>
  <c r="BD53" i="7" s="1"/>
  <c r="AG53" i="7" s="1"/>
  <c r="AW59" i="7"/>
  <c r="BA59" i="7" s="1"/>
  <c r="BC59" i="7" s="1"/>
  <c r="BD59" i="7" s="1"/>
  <c r="AG59" i="7" s="1"/>
  <c r="AW81" i="7"/>
  <c r="BA81" i="7" s="1"/>
  <c r="BC81" i="7" s="1"/>
  <c r="BF81" i="7" s="1"/>
  <c r="AW79" i="7"/>
  <c r="BA79" i="7" s="1"/>
  <c r="BC79" i="7" s="1"/>
  <c r="AW73" i="7"/>
  <c r="BA73" i="7" s="1"/>
  <c r="BC73" i="7" s="1"/>
  <c r="AW56" i="7"/>
  <c r="BA56" i="7" s="1"/>
  <c r="BC56" i="7" s="1"/>
  <c r="BE56" i="7" s="1"/>
  <c r="BG56" i="7" s="1"/>
  <c r="BA52" i="7"/>
  <c r="BC52" i="7" s="1"/>
  <c r="BF52" i="7" s="1"/>
  <c r="AI52" i="7" s="1"/>
  <c r="BA51" i="7"/>
  <c r="BC51" i="7" s="1"/>
  <c r="BD51" i="7" s="1"/>
  <c r="AG51" i="7" s="1"/>
  <c r="AW49" i="7"/>
  <c r="BA49" i="7" s="1"/>
  <c r="BC49" i="7" s="1"/>
  <c r="BF49" i="7" s="1"/>
  <c r="AI49" i="7" s="1"/>
  <c r="BA67" i="7"/>
  <c r="BC67" i="7" s="1"/>
  <c r="BF67" i="7" s="1"/>
  <c r="BH67" i="7" s="1"/>
  <c r="AJ67" i="7" s="1"/>
  <c r="AW55" i="7"/>
  <c r="BA55" i="7" s="1"/>
  <c r="BC55" i="7" s="1"/>
  <c r="BE55" i="7" s="1"/>
  <c r="AH55" i="7" s="1"/>
  <c r="AW65" i="7"/>
  <c r="BA65" i="7" s="1"/>
  <c r="BC65" i="7" s="1"/>
  <c r="BE65" i="7" s="1"/>
  <c r="AW14" i="7"/>
  <c r="BA14" i="7" s="1"/>
  <c r="BC14" i="7" s="1"/>
  <c r="BE14" i="7" s="1"/>
  <c r="AW64" i="7"/>
  <c r="BA64" i="7" s="1"/>
  <c r="BC64" i="7" s="1"/>
  <c r="BF64" i="7" s="1"/>
  <c r="AI64" i="7" s="1"/>
  <c r="AW70" i="7"/>
  <c r="BA70" i="7" s="1"/>
  <c r="BC70" i="7" s="1"/>
  <c r="BF70" i="7" s="1"/>
  <c r="BH70" i="7" s="1"/>
  <c r="AJ70" i="7" s="1"/>
  <c r="AW75" i="7"/>
  <c r="BA75" i="7" s="1"/>
  <c r="BC75" i="7" s="1"/>
  <c r="BE75" i="7" s="1"/>
  <c r="BG75" i="7" s="1"/>
  <c r="AW77" i="7"/>
  <c r="BA77" i="7" s="1"/>
  <c r="BC77" i="7" s="1"/>
  <c r="BE77" i="7" s="1"/>
  <c r="AH77" i="7" s="1"/>
  <c r="AW24" i="7"/>
  <c r="BA24" i="7" s="1"/>
  <c r="BC24" i="7" s="1"/>
  <c r="BD24" i="7" s="1"/>
  <c r="AG24" i="7" s="1"/>
  <c r="AW36" i="7"/>
  <c r="BA36" i="7" s="1"/>
  <c r="BC36" i="7" s="1"/>
  <c r="BE36" i="7" s="1"/>
  <c r="AW48" i="7"/>
  <c r="BA48" i="7" s="1"/>
  <c r="BC48" i="7" s="1"/>
  <c r="BF48" i="7" s="1"/>
  <c r="AW76" i="7"/>
  <c r="BA76" i="7" s="1"/>
  <c r="BC76" i="7" s="1"/>
  <c r="AW62" i="7"/>
  <c r="BA62" i="7" s="1"/>
  <c r="BC62" i="7" s="1"/>
  <c r="BF62" i="7" s="1"/>
  <c r="BH62" i="7" s="1"/>
  <c r="AJ62" i="7" s="1"/>
  <c r="AW12" i="7"/>
  <c r="BA12" i="7" s="1"/>
  <c r="BC12" i="7" s="1"/>
  <c r="BF12" i="7" s="1"/>
  <c r="AW44" i="7"/>
  <c r="BA44" i="7" s="1"/>
  <c r="BC44" i="7" s="1"/>
  <c r="BD44" i="7" s="1"/>
  <c r="AG44" i="7" s="1"/>
  <c r="AW74" i="7"/>
  <c r="BA74" i="7" s="1"/>
  <c r="BC74" i="7" s="1"/>
  <c r="BE74" i="7" s="1"/>
  <c r="BG74" i="7" s="1"/>
  <c r="AW82" i="7"/>
  <c r="BA82" i="7" s="1"/>
  <c r="BC82" i="7" s="1"/>
  <c r="BF82" i="7" s="1"/>
  <c r="BH82" i="7" s="1"/>
  <c r="AJ82" i="7" s="1"/>
  <c r="AW54" i="7"/>
  <c r="BA54" i="7" s="1"/>
  <c r="BC54" i="7" s="1"/>
  <c r="AW58" i="7"/>
  <c r="BA58" i="7" s="1"/>
  <c r="BC58" i="7" s="1"/>
  <c r="AW66" i="7"/>
  <c r="BA66" i="7" s="1"/>
  <c r="BC66" i="7" s="1"/>
  <c r="AW84" i="7"/>
  <c r="BA84" i="7" s="1"/>
  <c r="BC84" i="7" s="1"/>
  <c r="AW83" i="7"/>
  <c r="BA83" i="7" s="1"/>
  <c r="BC83" i="7" s="1"/>
  <c r="AW47" i="7"/>
  <c r="BA47" i="7" s="1"/>
  <c r="BC47" i="7" s="1"/>
  <c r="AW68" i="7"/>
  <c r="BA68" i="7" s="1"/>
  <c r="BC68" i="7" s="1"/>
  <c r="BF68" i="7" s="1"/>
  <c r="AI68" i="7" s="1"/>
  <c r="BA60" i="7"/>
  <c r="BC60" i="7" s="1"/>
  <c r="BD60" i="7" s="1"/>
  <c r="AG60" i="7" s="1"/>
  <c r="AW78" i="7"/>
  <c r="BA78" i="7" s="1"/>
  <c r="BC78" i="7" s="1"/>
  <c r="BD78" i="7" s="1"/>
  <c r="AG78" i="7" s="1"/>
  <c r="AW10" i="7"/>
  <c r="BA10" i="7" s="1"/>
  <c r="BC10" i="7" s="1"/>
  <c r="BF10" i="7" s="1"/>
  <c r="AW50" i="7"/>
  <c r="BA50" i="7" s="1"/>
  <c r="BC50" i="7" s="1"/>
  <c r="BF50" i="7" s="1"/>
  <c r="BA63" i="7"/>
  <c r="BC63" i="7" s="1"/>
  <c r="BE63" i="7" s="1"/>
  <c r="BG63" i="7" s="1"/>
  <c r="AW72" i="7"/>
  <c r="BA72" i="7" s="1"/>
  <c r="BC72" i="7" s="1"/>
  <c r="AW45" i="7"/>
  <c r="BA45" i="7" s="1"/>
  <c r="BC45" i="7" s="1"/>
  <c r="BA22" i="7"/>
  <c r="BC22" i="7" s="1"/>
  <c r="BC71" i="7"/>
  <c r="BD71" i="7" s="1"/>
  <c r="AG71" i="7" s="1"/>
  <c r="BC28" i="7"/>
  <c r="BE28" i="7" s="1"/>
  <c r="AH28" i="7" s="1"/>
  <c r="BG2" i="7"/>
  <c r="BA16" i="7"/>
  <c r="BC16" i="7" s="1"/>
  <c r="BE16" i="7" s="1"/>
  <c r="AH16" i="7" s="1"/>
  <c r="BC40" i="7"/>
  <c r="BF40" i="7" s="1"/>
  <c r="BH40" i="7" s="1"/>
  <c r="AJ40" i="7" s="1"/>
  <c r="BA20" i="7"/>
  <c r="BC20" i="7" s="1"/>
  <c r="BA46" i="7"/>
  <c r="BC46" i="7" s="1"/>
  <c r="BF46" i="7" s="1"/>
  <c r="AI46" i="7" s="1"/>
  <c r="BC30" i="7"/>
  <c r="BE30" i="7" s="1"/>
  <c r="BG30" i="7" s="1"/>
  <c r="BA42" i="7"/>
  <c r="BC42" i="7" s="1"/>
  <c r="BE42" i="7" s="1"/>
  <c r="BG42" i="7" s="1"/>
  <c r="H44" i="1"/>
  <c r="E44" i="1" s="1"/>
  <c r="E1036" i="8" s="1"/>
  <c r="J41" i="1"/>
  <c r="J1033" i="8" s="1"/>
  <c r="G1037" i="8"/>
  <c r="K42" i="1"/>
  <c r="K1034" i="8" s="1"/>
  <c r="E1035" i="8"/>
  <c r="L43" i="1"/>
  <c r="L1035" i="8" s="1"/>
  <c r="B1040" i="8"/>
  <c r="C48" i="1"/>
  <c r="C1040" i="8" s="1"/>
  <c r="I47" i="1"/>
  <c r="I1039" i="8" s="1"/>
  <c r="A1041" i="8"/>
  <c r="A50" i="1"/>
  <c r="B49" i="1"/>
  <c r="D49" i="1"/>
  <c r="F47" i="1"/>
  <c r="F1038" i="8"/>
  <c r="G46" i="1"/>
  <c r="D1040" i="8"/>
  <c r="E45" i="1"/>
  <c r="BC38" i="7"/>
  <c r="BD38" i="7" s="1"/>
  <c r="AG38" i="7" s="1"/>
  <c r="BC8" i="7"/>
  <c r="BF8" i="7" s="1"/>
  <c r="BC26" i="7"/>
  <c r="BF26" i="7" s="1"/>
  <c r="BC4" i="7"/>
  <c r="BD4" i="7" s="1"/>
  <c r="AG4" i="7" s="1"/>
  <c r="U2" i="7" s="1"/>
  <c r="I4" i="7" s="1"/>
  <c r="BD32" i="7" l="1"/>
  <c r="AG32" i="7" s="1"/>
  <c r="BE32" i="7"/>
  <c r="BG32" i="7" s="1"/>
  <c r="BD41" i="7"/>
  <c r="AG41" i="7" s="1"/>
  <c r="BE41" i="7"/>
  <c r="BG41" i="7" s="1"/>
  <c r="BD6" i="7"/>
  <c r="AG6" i="7" s="1"/>
  <c r="BE6" i="7"/>
  <c r="BG6" i="7" s="1"/>
  <c r="BE57" i="7"/>
  <c r="AH57" i="7" s="1"/>
  <c r="BD67" i="7"/>
  <c r="AG67" i="7" s="1"/>
  <c r="BE67" i="7"/>
  <c r="AH67" i="7" s="1"/>
  <c r="BD57" i="7"/>
  <c r="AG57" i="7" s="1"/>
  <c r="BE18" i="7"/>
  <c r="BG18" i="7" s="1"/>
  <c r="BD80" i="7"/>
  <c r="AG80" i="7" s="1"/>
  <c r="BD18" i="7"/>
  <c r="AG18" i="7" s="1"/>
  <c r="BE34" i="7"/>
  <c r="BG34" i="7" s="1"/>
  <c r="BF34" i="7"/>
  <c r="BH34" i="7" s="1"/>
  <c r="AJ34" i="7" s="1"/>
  <c r="BF80" i="7"/>
  <c r="BH80" i="7" s="1"/>
  <c r="AJ80" i="7" s="1"/>
  <c r="BD63" i="7"/>
  <c r="AG63" i="7" s="1"/>
  <c r="BF63" i="7"/>
  <c r="AI63" i="7" s="1"/>
  <c r="BE52" i="7"/>
  <c r="AH52" i="7" s="1"/>
  <c r="BD52" i="7"/>
  <c r="AG52" i="7" s="1"/>
  <c r="BD45" i="7"/>
  <c r="AG45" i="7" s="1"/>
  <c r="BE45" i="7"/>
  <c r="AH45" i="7" s="1"/>
  <c r="BF45" i="7"/>
  <c r="BH45" i="7" s="1"/>
  <c r="AJ45" i="7" s="1"/>
  <c r="BD16" i="7"/>
  <c r="AG16" i="7" s="1"/>
  <c r="BE78" i="7"/>
  <c r="BG78" i="7" s="1"/>
  <c r="BF78" i="7"/>
  <c r="AI78" i="7" s="1"/>
  <c r="BG28" i="7"/>
  <c r="BE71" i="7"/>
  <c r="BG71" i="7" s="1"/>
  <c r="BF71" i="7"/>
  <c r="BH71" i="7" s="1"/>
  <c r="AJ71" i="7" s="1"/>
  <c r="BF22" i="7"/>
  <c r="BD22" i="7"/>
  <c r="AG22" i="7" s="1"/>
  <c r="BE22" i="7"/>
  <c r="BG22" i="7" s="1"/>
  <c r="BF28" i="7"/>
  <c r="AI28" i="7" s="1"/>
  <c r="BD58" i="7"/>
  <c r="AG58" i="7" s="1"/>
  <c r="BE58" i="7"/>
  <c r="BG58" i="7" s="1"/>
  <c r="BD28" i="7"/>
  <c r="AG28" i="7" s="1"/>
  <c r="BD65" i="7"/>
  <c r="AG65" i="7" s="1"/>
  <c r="BF16" i="7"/>
  <c r="BH16" i="7" s="1"/>
  <c r="AJ16" i="7" s="1"/>
  <c r="BE82" i="7"/>
  <c r="AH82" i="7" s="1"/>
  <c r="BF58" i="7"/>
  <c r="AI58" i="7" s="1"/>
  <c r="AI70" i="7"/>
  <c r="BD70" i="7"/>
  <c r="AG70" i="7" s="1"/>
  <c r="BD48" i="7"/>
  <c r="AG48" i="7" s="1"/>
  <c r="BE48" i="7"/>
  <c r="BG48" i="7" s="1"/>
  <c r="BE70" i="7"/>
  <c r="BG70" i="7" s="1"/>
  <c r="BF69" i="7"/>
  <c r="AI69" i="7" s="1"/>
  <c r="BD40" i="7"/>
  <c r="AG40" i="7" s="1"/>
  <c r="BE10" i="7"/>
  <c r="AH10" i="7" s="1"/>
  <c r="BD62" i="7"/>
  <c r="AG62" i="7" s="1"/>
  <c r="BD55" i="7"/>
  <c r="AG55" i="7" s="1"/>
  <c r="AH80" i="7"/>
  <c r="BF65" i="7"/>
  <c r="BH65" i="7" s="1"/>
  <c r="AJ65" i="7" s="1"/>
  <c r="BE69" i="7"/>
  <c r="BG69" i="7" s="1"/>
  <c r="BD10" i="7"/>
  <c r="AG10" i="7" s="1"/>
  <c r="BE62" i="7"/>
  <c r="BG62" i="7" s="1"/>
  <c r="BG16" i="7"/>
  <c r="BF14" i="7"/>
  <c r="AI14" i="7" s="1"/>
  <c r="BH52" i="7"/>
  <c r="AJ52" i="7" s="1"/>
  <c r="BD14" i="7"/>
  <c r="AG14" i="7" s="1"/>
  <c r="BD82" i="7"/>
  <c r="AG82" i="7" s="1"/>
  <c r="AI40" i="7"/>
  <c r="BE40" i="7"/>
  <c r="BG40" i="7" s="1"/>
  <c r="AH30" i="7"/>
  <c r="BD46" i="7"/>
  <c r="AG46" i="7" s="1"/>
  <c r="BF30" i="7"/>
  <c r="AI30" i="7" s="1"/>
  <c r="BE43" i="7"/>
  <c r="AH43" i="7" s="1"/>
  <c r="BE46" i="7"/>
  <c r="BG46" i="7" s="1"/>
  <c r="BD43" i="7"/>
  <c r="AG43" i="7" s="1"/>
  <c r="BE20" i="7"/>
  <c r="AH20" i="7" s="1"/>
  <c r="BF20" i="7"/>
  <c r="BH20" i="7" s="1"/>
  <c r="AJ20" i="7" s="1"/>
  <c r="BD20" i="7"/>
  <c r="AG20" i="7" s="1"/>
  <c r="BD79" i="7"/>
  <c r="AG79" i="7" s="1"/>
  <c r="BF79" i="7"/>
  <c r="BH79" i="7" s="1"/>
  <c r="AJ79" i="7" s="1"/>
  <c r="BD30" i="7"/>
  <c r="AG30" i="7" s="1"/>
  <c r="BD76" i="7"/>
  <c r="AG76" i="7" s="1"/>
  <c r="BE76" i="7"/>
  <c r="AH76" i="7" s="1"/>
  <c r="BF55" i="7"/>
  <c r="BH55" i="7" s="1"/>
  <c r="AJ55" i="7" s="1"/>
  <c r="BF76" i="7"/>
  <c r="BH76" i="7" s="1"/>
  <c r="AJ76" i="7" s="1"/>
  <c r="BD50" i="7"/>
  <c r="AG50" i="7" s="1"/>
  <c r="BE79" i="7"/>
  <c r="AH79" i="7" s="1"/>
  <c r="BD77" i="7"/>
  <c r="AG77" i="7" s="1"/>
  <c r="BD42" i="7"/>
  <c r="AG42" i="7" s="1"/>
  <c r="BE72" i="7"/>
  <c r="BG72" i="7" s="1"/>
  <c r="BD72" i="7"/>
  <c r="AG72" i="7" s="1"/>
  <c r="BF72" i="7"/>
  <c r="AI72" i="7" s="1"/>
  <c r="BG77" i="7"/>
  <c r="BE81" i="7"/>
  <c r="AH81" i="7" s="1"/>
  <c r="BF77" i="7"/>
  <c r="AI77" i="7" s="1"/>
  <c r="BE50" i="7"/>
  <c r="BG50" i="7" s="1"/>
  <c r="BD54" i="7"/>
  <c r="AG54" i="7" s="1"/>
  <c r="BE54" i="7"/>
  <c r="BG54" i="7" s="1"/>
  <c r="BE24" i="7"/>
  <c r="BG24" i="7" s="1"/>
  <c r="BF54" i="7"/>
  <c r="AI54" i="7" s="1"/>
  <c r="BF24" i="7"/>
  <c r="BH24" i="7" s="1"/>
  <c r="AJ24" i="7" s="1"/>
  <c r="BD81" i="7"/>
  <c r="AG81" i="7" s="1"/>
  <c r="BD83" i="7"/>
  <c r="AG83" i="7" s="1"/>
  <c r="BF83" i="7"/>
  <c r="AI83" i="7" s="1"/>
  <c r="BE83" i="7"/>
  <c r="AH83" i="7" s="1"/>
  <c r="BF42" i="7"/>
  <c r="AI42" i="7" s="1"/>
  <c r="BH64" i="7"/>
  <c r="AJ64" i="7" s="1"/>
  <c r="BE64" i="7"/>
  <c r="BG64" i="7" s="1"/>
  <c r="BD64" i="7"/>
  <c r="AG64" i="7" s="1"/>
  <c r="H1036" i="8"/>
  <c r="L44" i="1"/>
  <c r="L1036" i="8" s="1"/>
  <c r="BF59" i="7"/>
  <c r="AI59" i="7" s="1"/>
  <c r="J42" i="1"/>
  <c r="J1034" i="8" s="1"/>
  <c r="I48" i="1"/>
  <c r="I1040" i="8" s="1"/>
  <c r="BE59" i="7"/>
  <c r="BG59" i="7" s="1"/>
  <c r="F48" i="1"/>
  <c r="F1040" i="8" s="1"/>
  <c r="K43" i="1"/>
  <c r="K1035" i="8" s="1"/>
  <c r="G1038" i="8"/>
  <c r="H46" i="1"/>
  <c r="H1038" i="8" s="1"/>
  <c r="D1041" i="8"/>
  <c r="F1039" i="8"/>
  <c r="G47" i="1"/>
  <c r="B1041" i="8"/>
  <c r="C49" i="1"/>
  <c r="C1041" i="8" s="1"/>
  <c r="E1037" i="8"/>
  <c r="L45" i="1"/>
  <c r="L1037" i="8" s="1"/>
  <c r="A1042" i="8"/>
  <c r="A51" i="1"/>
  <c r="B50" i="1"/>
  <c r="D50" i="1"/>
  <c r="BD49" i="7"/>
  <c r="AG49" i="7" s="1"/>
  <c r="AH75" i="7"/>
  <c r="AH42" i="7"/>
  <c r="BF60" i="7"/>
  <c r="AI60" i="7" s="1"/>
  <c r="BH49" i="7"/>
  <c r="AJ49" i="7" s="1"/>
  <c r="BE49" i="7"/>
  <c r="AH49" i="7" s="1"/>
  <c r="BF53" i="7"/>
  <c r="BH53" i="7" s="1"/>
  <c r="AJ53" i="7" s="1"/>
  <c r="BE53" i="7"/>
  <c r="AH53" i="7" s="1"/>
  <c r="BD75" i="7"/>
  <c r="AG75" i="7" s="1"/>
  <c r="BF75" i="7"/>
  <c r="AI75" i="7" s="1"/>
  <c r="AI67" i="7"/>
  <c r="AH63" i="7"/>
  <c r="BD74" i="7"/>
  <c r="AG74" i="7" s="1"/>
  <c r="BE60" i="7"/>
  <c r="BG60" i="7" s="1"/>
  <c r="AI82" i="7"/>
  <c r="AH74" i="7"/>
  <c r="BF74" i="7"/>
  <c r="AI74" i="7" s="1"/>
  <c r="BE61" i="7"/>
  <c r="AH61" i="7" s="1"/>
  <c r="BF61" i="7"/>
  <c r="BH68" i="7"/>
  <c r="AJ68" i="7" s="1"/>
  <c r="BF51" i="7"/>
  <c r="BD56" i="7"/>
  <c r="AG56" i="7" s="1"/>
  <c r="BE51" i="7"/>
  <c r="AH51" i="7" s="1"/>
  <c r="BD68" i="7"/>
  <c r="AG68" i="7" s="1"/>
  <c r="BE68" i="7"/>
  <c r="AH56" i="7"/>
  <c r="BF56" i="7"/>
  <c r="BD47" i="7"/>
  <c r="AG47" i="7" s="1"/>
  <c r="BF47" i="7"/>
  <c r="BE47" i="7"/>
  <c r="BF84" i="7"/>
  <c r="BD84" i="7"/>
  <c r="AG84" i="7" s="1"/>
  <c r="BE84" i="7"/>
  <c r="BD73" i="7"/>
  <c r="AG73" i="7" s="1"/>
  <c r="BE73" i="7"/>
  <c r="BF73" i="7"/>
  <c r="BE66" i="7"/>
  <c r="BF66" i="7"/>
  <c r="BD66" i="7"/>
  <c r="AG66" i="7" s="1"/>
  <c r="BH46" i="7"/>
  <c r="AJ46" i="7" s="1"/>
  <c r="BE44" i="7"/>
  <c r="BF44" i="7"/>
  <c r="AI62" i="7"/>
  <c r="BG55" i="7"/>
  <c r="AH41" i="7"/>
  <c r="AI81" i="7"/>
  <c r="BH81" i="7"/>
  <c r="AJ81" i="7" s="1"/>
  <c r="AI57" i="7"/>
  <c r="BH57" i="7"/>
  <c r="AJ57" i="7" s="1"/>
  <c r="BH50" i="7"/>
  <c r="AJ50" i="7" s="1"/>
  <c r="AI50" i="7"/>
  <c r="BG65" i="7"/>
  <c r="AH65" i="7"/>
  <c r="AI41" i="7"/>
  <c r="BH41" i="7"/>
  <c r="AJ41" i="7" s="1"/>
  <c r="BH48" i="7"/>
  <c r="AJ48" i="7" s="1"/>
  <c r="AI48" i="7"/>
  <c r="AI43" i="7"/>
  <c r="BH43" i="7"/>
  <c r="AJ43" i="7" s="1"/>
  <c r="BG36" i="7"/>
  <c r="AH36" i="7"/>
  <c r="BH8" i="7"/>
  <c r="AJ8" i="7" s="1"/>
  <c r="AI8" i="7"/>
  <c r="BH18" i="7"/>
  <c r="AJ18" i="7" s="1"/>
  <c r="AI18" i="7"/>
  <c r="BH10" i="7"/>
  <c r="AJ10" i="7" s="1"/>
  <c r="AI10" i="7"/>
  <c r="BH26" i="7"/>
  <c r="AJ26" i="7" s="1"/>
  <c r="AI26" i="7"/>
  <c r="BG14" i="7"/>
  <c r="AH14" i="7"/>
  <c r="BH32" i="7"/>
  <c r="AJ32" i="7" s="1"/>
  <c r="AI32" i="7"/>
  <c r="BH12" i="7"/>
  <c r="AJ12" i="7" s="1"/>
  <c r="AI12" i="7"/>
  <c r="AI6" i="7"/>
  <c r="BH6" i="7"/>
  <c r="AJ6" i="7" s="1"/>
  <c r="BE38" i="7"/>
  <c r="BF38" i="7"/>
  <c r="BE8" i="7"/>
  <c r="BD8" i="7"/>
  <c r="AG8" i="7" s="1"/>
  <c r="BF4" i="7"/>
  <c r="BD36" i="7"/>
  <c r="AG36" i="7" s="1"/>
  <c r="BE12" i="7"/>
  <c r="BD12" i="7"/>
  <c r="AG12" i="7" s="1"/>
  <c r="BF36" i="7"/>
  <c r="BD26" i="7"/>
  <c r="AG26" i="7" s="1"/>
  <c r="BE4" i="7"/>
  <c r="BE26" i="7"/>
  <c r="AH32" i="7" l="1"/>
  <c r="AH18" i="7"/>
  <c r="BG57" i="7"/>
  <c r="AH78" i="7"/>
  <c r="BG67" i="7"/>
  <c r="AI80" i="7"/>
  <c r="AH71" i="7"/>
  <c r="AH6" i="7"/>
  <c r="AH34" i="7"/>
  <c r="AI34" i="7"/>
  <c r="AI45" i="7"/>
  <c r="BG45" i="7"/>
  <c r="BH78" i="7"/>
  <c r="AJ78" i="7" s="1"/>
  <c r="BG52" i="7"/>
  <c r="BH63" i="7"/>
  <c r="AJ63" i="7" s="1"/>
  <c r="AH22" i="7"/>
  <c r="AH58" i="7"/>
  <c r="AI71" i="7"/>
  <c r="AI16" i="7"/>
  <c r="BH58" i="7"/>
  <c r="AJ58" i="7" s="1"/>
  <c r="BH28" i="7"/>
  <c r="AJ28" i="7" s="1"/>
  <c r="BH22" i="7"/>
  <c r="AJ22" i="7" s="1"/>
  <c r="AI22" i="7"/>
  <c r="BG10" i="7"/>
  <c r="BG82" i="7"/>
  <c r="AH48" i="7"/>
  <c r="AH24" i="7"/>
  <c r="AI65" i="7"/>
  <c r="AH69" i="7"/>
  <c r="BH30" i="7"/>
  <c r="AJ30" i="7" s="1"/>
  <c r="AH70" i="7"/>
  <c r="AI76" i="7"/>
  <c r="BH69" i="7"/>
  <c r="AJ69" i="7" s="1"/>
  <c r="BG43" i="7"/>
  <c r="AI20" i="7"/>
  <c r="AH40" i="7"/>
  <c r="AH62" i="7"/>
  <c r="AI79" i="7"/>
  <c r="BH14" i="7"/>
  <c r="AJ14" i="7" s="1"/>
  <c r="AI55" i="7"/>
  <c r="BG76" i="7"/>
  <c r="BG79" i="7"/>
  <c r="BG20" i="7"/>
  <c r="AH46" i="7"/>
  <c r="AH54" i="7"/>
  <c r="BH72" i="7"/>
  <c r="AJ72" i="7" s="1"/>
  <c r="AI24" i="7"/>
  <c r="BH77" i="7"/>
  <c r="AJ77" i="7" s="1"/>
  <c r="BG81" i="7"/>
  <c r="AH50" i="7"/>
  <c r="BH54" i="7"/>
  <c r="AJ54" i="7" s="1"/>
  <c r="AH72" i="7"/>
  <c r="BH83" i="7"/>
  <c r="AJ83" i="7" s="1"/>
  <c r="BG83" i="7"/>
  <c r="AH64" i="7"/>
  <c r="BH42" i="7"/>
  <c r="AJ42" i="7" s="1"/>
  <c r="K44" i="1"/>
  <c r="K1036" i="8" s="1"/>
  <c r="BH59" i="7"/>
  <c r="AJ59" i="7" s="1"/>
  <c r="AH59" i="7"/>
  <c r="G48" i="1"/>
  <c r="H48" i="1" s="1"/>
  <c r="J43" i="1"/>
  <c r="J1035" i="8" s="1"/>
  <c r="E46" i="1"/>
  <c r="E1038" i="8" s="1"/>
  <c r="K45" i="1"/>
  <c r="K1037" i="8" s="1"/>
  <c r="I49" i="1"/>
  <c r="I1041" i="8" s="1"/>
  <c r="F49" i="1"/>
  <c r="D1042" i="8"/>
  <c r="G1039" i="8"/>
  <c r="H47" i="1"/>
  <c r="H1039" i="8" s="1"/>
  <c r="C50" i="1"/>
  <c r="C1042" i="8" s="1"/>
  <c r="B1042" i="8"/>
  <c r="A1043" i="8"/>
  <c r="A52" i="1"/>
  <c r="B51" i="1"/>
  <c r="D51" i="1"/>
  <c r="BG49" i="7"/>
  <c r="BH60" i="7"/>
  <c r="AJ60" i="7" s="1"/>
  <c r="BH75" i="7"/>
  <c r="AJ75" i="7" s="1"/>
  <c r="BG53" i="7"/>
  <c r="AI53" i="7"/>
  <c r="AH60" i="7"/>
  <c r="BG61" i="7"/>
  <c r="BH74" i="7"/>
  <c r="AJ74" i="7" s="1"/>
  <c r="BH61" i="7"/>
  <c r="AJ61" i="7" s="1"/>
  <c r="AI61" i="7"/>
  <c r="BG51" i="7"/>
  <c r="BH51" i="7"/>
  <c r="AJ51" i="7" s="1"/>
  <c r="AI51" i="7"/>
  <c r="AH68" i="7"/>
  <c r="BG68" i="7"/>
  <c r="BH56" i="7"/>
  <c r="AJ56" i="7" s="1"/>
  <c r="AI56" i="7"/>
  <c r="BG73" i="7"/>
  <c r="AH73" i="7"/>
  <c r="BH84" i="7"/>
  <c r="AJ84" i="7" s="1"/>
  <c r="AI84" i="7"/>
  <c r="BH66" i="7"/>
  <c r="AJ66" i="7" s="1"/>
  <c r="AI66" i="7"/>
  <c r="AH47" i="7"/>
  <c r="BG47" i="7"/>
  <c r="AH66" i="7"/>
  <c r="BG66" i="7"/>
  <c r="AH84" i="7"/>
  <c r="BG84" i="7"/>
  <c r="BH47" i="7"/>
  <c r="AJ47" i="7" s="1"/>
  <c r="AI47" i="7"/>
  <c r="BH73" i="7"/>
  <c r="AJ73" i="7" s="1"/>
  <c r="AI73" i="7"/>
  <c r="BH44" i="7"/>
  <c r="AJ44" i="7" s="1"/>
  <c r="AI44" i="7"/>
  <c r="BG44" i="7"/>
  <c r="AH44" i="7"/>
  <c r="BG12" i="7"/>
  <c r="AH12" i="7"/>
  <c r="BH36" i="7"/>
  <c r="AJ36" i="7" s="1"/>
  <c r="AI36" i="7"/>
  <c r="BH4" i="7"/>
  <c r="AJ4" i="7" s="1"/>
  <c r="X2" i="7" s="1"/>
  <c r="L4" i="7" s="1"/>
  <c r="AI4" i="7"/>
  <c r="W2" i="7" s="1"/>
  <c r="K4" i="7" s="1"/>
  <c r="BG38" i="7"/>
  <c r="AH38" i="7"/>
  <c r="BG26" i="7"/>
  <c r="AH26" i="7"/>
  <c r="BG4" i="7"/>
  <c r="AH4" i="7"/>
  <c r="V2" i="7" s="1"/>
  <c r="J4" i="7" s="1"/>
  <c r="BG8" i="7"/>
  <c r="AH8" i="7"/>
  <c r="BH38" i="7"/>
  <c r="AJ38" i="7" s="1"/>
  <c r="AI38" i="7"/>
  <c r="J44" i="1" l="1"/>
  <c r="J1036" i="8" s="1"/>
  <c r="G1040" i="8"/>
  <c r="L46" i="1"/>
  <c r="L1038" i="8" s="1"/>
  <c r="J45" i="1"/>
  <c r="J1037" i="8" s="1"/>
  <c r="H1040" i="8"/>
  <c r="E48" i="1"/>
  <c r="A1044" i="8"/>
  <c r="A53" i="1"/>
  <c r="B52" i="1"/>
  <c r="D52" i="1"/>
  <c r="F50" i="1"/>
  <c r="D1043" i="8"/>
  <c r="F1041" i="8"/>
  <c r="G49" i="1"/>
  <c r="C51" i="1"/>
  <c r="C1043" i="8" s="1"/>
  <c r="B1043" i="8"/>
  <c r="I50" i="1"/>
  <c r="I1042" i="8" s="1"/>
  <c r="E47" i="1"/>
  <c r="M25" i="2"/>
  <c r="G1" i="1" s="1"/>
  <c r="E1002" i="8" s="1"/>
  <c r="K46" i="1" l="1"/>
  <c r="K1038" i="8" s="1"/>
  <c r="E1039" i="8"/>
  <c r="L47" i="1"/>
  <c r="L1039" i="8" s="1"/>
  <c r="G1041" i="8"/>
  <c r="H49" i="1"/>
  <c r="A1045" i="8"/>
  <c r="A54" i="1"/>
  <c r="B53" i="1"/>
  <c r="D53" i="1"/>
  <c r="F1042" i="8"/>
  <c r="G50" i="1"/>
  <c r="I51" i="1"/>
  <c r="I1043" i="8" s="1"/>
  <c r="D1044" i="8"/>
  <c r="E1040" i="8"/>
  <c r="L48" i="1"/>
  <c r="L1040" i="8" s="1"/>
  <c r="F51" i="1"/>
  <c r="C52" i="1"/>
  <c r="C1044" i="8" s="1"/>
  <c r="B1044" i="8"/>
  <c r="AM5" i="7"/>
  <c r="AM3" i="7"/>
  <c r="J46" i="1" l="1"/>
  <c r="J1038" i="8" s="1"/>
  <c r="F52" i="1"/>
  <c r="F1044" i="8" s="1"/>
  <c r="K48" i="1"/>
  <c r="K1040" i="8" s="1"/>
  <c r="C53" i="1"/>
  <c r="C1045" i="8" s="1"/>
  <c r="B1045" i="8"/>
  <c r="F1043" i="8"/>
  <c r="G51" i="1"/>
  <c r="I52" i="1"/>
  <c r="I1044" i="8" s="1"/>
  <c r="G1042" i="8"/>
  <c r="H50" i="1"/>
  <c r="A1046" i="8"/>
  <c r="A55" i="1"/>
  <c r="B54" i="1"/>
  <c r="D54" i="1"/>
  <c r="K47" i="1"/>
  <c r="D1045" i="8"/>
  <c r="H1041" i="8"/>
  <c r="E49" i="1"/>
  <c r="AQ5" i="7"/>
  <c r="AP5" i="7"/>
  <c r="AQ3" i="7"/>
  <c r="AP3" i="7"/>
  <c r="AM7" i="7"/>
  <c r="I53" i="1" l="1"/>
  <c r="I1045" i="8" s="1"/>
  <c r="G52" i="1"/>
  <c r="G1044" i="8" s="1"/>
  <c r="F53" i="1"/>
  <c r="G53" i="1" s="1"/>
  <c r="J48" i="1"/>
  <c r="J1040" i="8" s="1"/>
  <c r="C54" i="1"/>
  <c r="C1046" i="8" s="1"/>
  <c r="B1046" i="8"/>
  <c r="G1043" i="8"/>
  <c r="H51" i="1"/>
  <c r="H1043" i="8" s="1"/>
  <c r="A1047" i="8"/>
  <c r="A56" i="1"/>
  <c r="B55" i="1"/>
  <c r="D55" i="1"/>
  <c r="E1041" i="8"/>
  <c r="L49" i="1"/>
  <c r="L1041" i="8" s="1"/>
  <c r="J47" i="1"/>
  <c r="J1039" i="8" s="1"/>
  <c r="K1039" i="8"/>
  <c r="D1046" i="8"/>
  <c r="E50" i="1"/>
  <c r="H1042" i="8"/>
  <c r="AR3" i="7"/>
  <c r="AQ7" i="7"/>
  <c r="AP7" i="7"/>
  <c r="AR5" i="7"/>
  <c r="AM9" i="7"/>
  <c r="AS3" i="7" l="1"/>
  <c r="AS5" i="7"/>
  <c r="Y5" i="7" s="1"/>
  <c r="H52" i="1"/>
  <c r="H1044" i="8" s="1"/>
  <c r="F1045" i="8"/>
  <c r="F54" i="1"/>
  <c r="G54" i="1" s="1"/>
  <c r="E51" i="1"/>
  <c r="E1043" i="8" s="1"/>
  <c r="I54" i="1"/>
  <c r="I1046" i="8" s="1"/>
  <c r="E1042" i="8"/>
  <c r="L50" i="1"/>
  <c r="L1042" i="8" s="1"/>
  <c r="K49" i="1"/>
  <c r="K1041" i="8" s="1"/>
  <c r="C55" i="1"/>
  <c r="C1047" i="8" s="1"/>
  <c r="B1047" i="8"/>
  <c r="H53" i="1"/>
  <c r="H1045" i="8" s="1"/>
  <c r="G1045" i="8"/>
  <c r="A1048" i="8"/>
  <c r="A57" i="1"/>
  <c r="B56" i="1"/>
  <c r="D56" i="1"/>
  <c r="D1047" i="8"/>
  <c r="AR7" i="7"/>
  <c r="AM11" i="7"/>
  <c r="AQ9" i="7"/>
  <c r="AP9" i="7"/>
  <c r="M83" i="7" l="1"/>
  <c r="Q83" i="7"/>
  <c r="U83" i="7"/>
  <c r="M84" i="7"/>
  <c r="Q84" i="7"/>
  <c r="U84" i="7"/>
  <c r="S83" i="7"/>
  <c r="W83" i="7"/>
  <c r="S84" i="7"/>
  <c r="P83" i="7"/>
  <c r="X83" i="7"/>
  <c r="T84" i="7"/>
  <c r="N83" i="7"/>
  <c r="R83" i="7"/>
  <c r="V83" i="7"/>
  <c r="N84" i="7"/>
  <c r="R84" i="7"/>
  <c r="V84" i="7"/>
  <c r="O83" i="7"/>
  <c r="O84" i="7"/>
  <c r="W84" i="7"/>
  <c r="T83" i="7"/>
  <c r="P84" i="7"/>
  <c r="X84" i="7"/>
  <c r="T53" i="7"/>
  <c r="R52" i="7"/>
  <c r="T34" i="7"/>
  <c r="M24" i="7"/>
  <c r="M30" i="7"/>
  <c r="T20" i="7"/>
  <c r="R75" i="7"/>
  <c r="M16" i="7"/>
  <c r="T18" i="7"/>
  <c r="T32" i="7"/>
  <c r="R56" i="7"/>
  <c r="R46" i="7"/>
  <c r="T63" i="7"/>
  <c r="M36" i="7"/>
  <c r="R81" i="7"/>
  <c r="T67" i="7"/>
  <c r="R62" i="7"/>
  <c r="M4" i="7"/>
  <c r="M6" i="7"/>
  <c r="M28" i="7"/>
  <c r="R79" i="7"/>
  <c r="T10" i="7"/>
  <c r="R60" i="7"/>
  <c r="T48" i="7"/>
  <c r="T41" i="7"/>
  <c r="R68" i="7"/>
  <c r="T22" i="7"/>
  <c r="T12" i="7"/>
  <c r="T77" i="7"/>
  <c r="R74" i="7"/>
  <c r="M26" i="7"/>
  <c r="T43" i="7"/>
  <c r="R44" i="7"/>
  <c r="T14" i="7"/>
  <c r="M55" i="7"/>
  <c r="M69" i="7"/>
  <c r="M38" i="7"/>
  <c r="R8" i="7"/>
  <c r="O43" i="7"/>
  <c r="P4" i="7"/>
  <c r="T58" i="7"/>
  <c r="R6" i="7"/>
  <c r="N28" i="7"/>
  <c r="Q69" i="7"/>
  <c r="O16" i="7"/>
  <c r="R71" i="7"/>
  <c r="T52" i="7"/>
  <c r="T81" i="7"/>
  <c r="T26" i="7"/>
  <c r="O69" i="7"/>
  <c r="Q24" i="7"/>
  <c r="T59" i="7"/>
  <c r="T62" i="7"/>
  <c r="T73" i="7"/>
  <c r="T16" i="7"/>
  <c r="Q55" i="7"/>
  <c r="O36" i="7"/>
  <c r="N36" i="7"/>
  <c r="R80" i="7"/>
  <c r="O26" i="7"/>
  <c r="M71" i="7"/>
  <c r="T82" i="7"/>
  <c r="T46" i="7"/>
  <c r="T24" i="7"/>
  <c r="R10" i="7"/>
  <c r="T40" i="7"/>
  <c r="T28" i="7"/>
  <c r="N69" i="7"/>
  <c r="N38" i="7"/>
  <c r="P36" i="7"/>
  <c r="T78" i="7"/>
  <c r="R58" i="7"/>
  <c r="T80" i="7"/>
  <c r="T30" i="7"/>
  <c r="Q38" i="7"/>
  <c r="T68" i="7"/>
  <c r="O55" i="7"/>
  <c r="N4" i="7"/>
  <c r="N30" i="7"/>
  <c r="Q36" i="7"/>
  <c r="T69" i="7"/>
  <c r="T60" i="7"/>
  <c r="R42" i="7"/>
  <c r="T51" i="7"/>
  <c r="N16" i="7"/>
  <c r="T64" i="7"/>
  <c r="R82" i="7"/>
  <c r="O61" i="7"/>
  <c r="T54" i="7"/>
  <c r="T8" i="7"/>
  <c r="O28" i="7"/>
  <c r="R34" i="7"/>
  <c r="M40" i="7"/>
  <c r="R53" i="7"/>
  <c r="M75" i="7"/>
  <c r="R41" i="7"/>
  <c r="R43" i="7"/>
  <c r="R76" i="7"/>
  <c r="M72" i="7"/>
  <c r="M79" i="7"/>
  <c r="R63" i="7"/>
  <c r="M77" i="7"/>
  <c r="M32" i="7"/>
  <c r="R38" i="7"/>
  <c r="R12" i="7"/>
  <c r="M42" i="7"/>
  <c r="M58" i="7"/>
  <c r="R59" i="7"/>
  <c r="M53" i="7"/>
  <c r="R67" i="7"/>
  <c r="Q4" i="7"/>
  <c r="R70" i="7"/>
  <c r="R47" i="7"/>
  <c r="R51" i="7"/>
  <c r="M46" i="7"/>
  <c r="R57" i="7"/>
  <c r="M81" i="7"/>
  <c r="M48" i="7"/>
  <c r="M74" i="7"/>
  <c r="M56" i="7"/>
  <c r="M66" i="7"/>
  <c r="M51" i="7"/>
  <c r="R16" i="7"/>
  <c r="R36" i="7"/>
  <c r="M49" i="7"/>
  <c r="R61" i="7"/>
  <c r="M73" i="7"/>
  <c r="R78" i="7"/>
  <c r="R64" i="7"/>
  <c r="M70" i="7"/>
  <c r="R77" i="7"/>
  <c r="R28" i="7"/>
  <c r="R20" i="7"/>
  <c r="R69" i="7"/>
  <c r="R26" i="7"/>
  <c r="M45" i="7"/>
  <c r="T79" i="7"/>
  <c r="O38" i="7"/>
  <c r="P69" i="7"/>
  <c r="T61" i="7"/>
  <c r="R24" i="7"/>
  <c r="Q26" i="7"/>
  <c r="O24" i="7"/>
  <c r="T70" i="7"/>
  <c r="T56" i="7"/>
  <c r="M64" i="7"/>
  <c r="R22" i="7"/>
  <c r="M63" i="7"/>
  <c r="M61" i="7"/>
  <c r="M60" i="7"/>
  <c r="R48" i="7"/>
  <c r="R30" i="7"/>
  <c r="R65" i="7"/>
  <c r="M12" i="7"/>
  <c r="R54" i="7"/>
  <c r="M78" i="7"/>
  <c r="R66" i="7"/>
  <c r="M8" i="7"/>
  <c r="M10" i="7"/>
  <c r="M20" i="7"/>
  <c r="M59" i="7"/>
  <c r="R32" i="7"/>
  <c r="R40" i="7"/>
  <c r="M57" i="7"/>
  <c r="R55" i="7"/>
  <c r="R18" i="7"/>
  <c r="M22" i="7"/>
  <c r="M52" i="7"/>
  <c r="P26" i="7"/>
  <c r="T49" i="7"/>
  <c r="Q30" i="7"/>
  <c r="P16" i="7"/>
  <c r="P38" i="7"/>
  <c r="N24" i="7"/>
  <c r="T71" i="7"/>
  <c r="T74" i="7"/>
  <c r="T44" i="7"/>
  <c r="T76" i="7"/>
  <c r="P30" i="7"/>
  <c r="R49" i="7"/>
  <c r="T57" i="7"/>
  <c r="T36" i="7"/>
  <c r="O30" i="7"/>
  <c r="T38" i="7"/>
  <c r="N55" i="7"/>
  <c r="T66" i="7"/>
  <c r="M54" i="7"/>
  <c r="T65" i="7"/>
  <c r="T75" i="7"/>
  <c r="T6" i="7"/>
  <c r="O6" i="7"/>
  <c r="P28" i="7"/>
  <c r="P6" i="7"/>
  <c r="Q28" i="7"/>
  <c r="P24" i="7"/>
  <c r="P55" i="7"/>
  <c r="N26" i="7"/>
  <c r="T72" i="7"/>
  <c r="T4" i="7"/>
  <c r="T50" i="7"/>
  <c r="N6" i="7"/>
  <c r="R45" i="7"/>
  <c r="T55" i="7"/>
  <c r="Q16" i="7"/>
  <c r="T42" i="7"/>
  <c r="T47" i="7"/>
  <c r="T45" i="7"/>
  <c r="O4" i="7"/>
  <c r="M76" i="7"/>
  <c r="R14" i="7"/>
  <c r="M82" i="7"/>
  <c r="R50" i="7"/>
  <c r="M18" i="7"/>
  <c r="M14" i="7"/>
  <c r="M41" i="7"/>
  <c r="M50" i="7"/>
  <c r="M65" i="7"/>
  <c r="R4" i="7"/>
  <c r="R72" i="7"/>
  <c r="M62" i="7"/>
  <c r="M34" i="7"/>
  <c r="M44" i="7"/>
  <c r="M80" i="7"/>
  <c r="Q6" i="7"/>
  <c r="R73" i="7"/>
  <c r="M47" i="7"/>
  <c r="M67" i="7"/>
  <c r="M68" i="7"/>
  <c r="M43" i="7"/>
  <c r="Q42" i="7"/>
  <c r="S58" i="7"/>
  <c r="P75" i="7"/>
  <c r="N34" i="7"/>
  <c r="O74" i="7"/>
  <c r="N49" i="7"/>
  <c r="N80" i="7"/>
  <c r="P48" i="7"/>
  <c r="N66" i="7"/>
  <c r="S78" i="7"/>
  <c r="O62" i="7"/>
  <c r="P44" i="7"/>
  <c r="P18" i="7"/>
  <c r="N32" i="7"/>
  <c r="O52" i="7"/>
  <c r="P47" i="7"/>
  <c r="P20" i="7"/>
  <c r="O34" i="7"/>
  <c r="Q65" i="7"/>
  <c r="O60" i="7"/>
  <c r="O63" i="7"/>
  <c r="P54" i="7"/>
  <c r="O47" i="7"/>
  <c r="N60" i="7"/>
  <c r="N63" i="7"/>
  <c r="O56" i="7"/>
  <c r="O54" i="7"/>
  <c r="P53" i="7"/>
  <c r="N61" i="7"/>
  <c r="P41" i="7"/>
  <c r="N42" i="7"/>
  <c r="S50" i="7"/>
  <c r="N58" i="7"/>
  <c r="N82" i="7"/>
  <c r="N78" i="7"/>
  <c r="P34" i="7"/>
  <c r="P60" i="7"/>
  <c r="N77" i="7"/>
  <c r="P10" i="7"/>
  <c r="O53" i="7"/>
  <c r="O77" i="7"/>
  <c r="P40" i="7"/>
  <c r="S69" i="7"/>
  <c r="Q60" i="7"/>
  <c r="S4" i="7"/>
  <c r="S30" i="7"/>
  <c r="P49" i="7"/>
  <c r="Q73" i="7"/>
  <c r="Q76" i="7"/>
  <c r="P61" i="7"/>
  <c r="Q75" i="7"/>
  <c r="Q43" i="7"/>
  <c r="P58" i="7"/>
  <c r="Q67" i="7"/>
  <c r="S38" i="7"/>
  <c r="P50" i="7"/>
  <c r="Q40" i="7"/>
  <c r="Q48" i="7"/>
  <c r="Q63" i="7"/>
  <c r="O32" i="7"/>
  <c r="Q10" i="7"/>
  <c r="O78" i="7"/>
  <c r="Q52" i="7"/>
  <c r="Q44" i="7"/>
  <c r="S24" i="7"/>
  <c r="O50" i="7"/>
  <c r="Q57" i="7"/>
  <c r="P65" i="7"/>
  <c r="Q80" i="7"/>
  <c r="Q74" i="7"/>
  <c r="S26" i="7"/>
  <c r="N73" i="7"/>
  <c r="P12" i="7"/>
  <c r="O44" i="7"/>
  <c r="Q61" i="7"/>
  <c r="P77" i="7"/>
  <c r="N71" i="7"/>
  <c r="S65" i="7"/>
  <c r="N10" i="7"/>
  <c r="P43" i="7"/>
  <c r="O58" i="7"/>
  <c r="Q79" i="7"/>
  <c r="S55" i="7"/>
  <c r="O49" i="7"/>
  <c r="P32" i="7"/>
  <c r="S36" i="7"/>
  <c r="S6" i="7"/>
  <c r="Q34" i="7"/>
  <c r="P71" i="7"/>
  <c r="O73" i="7"/>
  <c r="N68" i="7"/>
  <c r="Q41" i="7"/>
  <c r="O81" i="7"/>
  <c r="Q45" i="7"/>
  <c r="N46" i="7"/>
  <c r="N48" i="7"/>
  <c r="Q51" i="7"/>
  <c r="N40" i="7"/>
  <c r="N79" i="7"/>
  <c r="O22" i="7"/>
  <c r="P63" i="7"/>
  <c r="Q56" i="7"/>
  <c r="O68" i="7"/>
  <c r="P57" i="7"/>
  <c r="O10" i="7"/>
  <c r="N62" i="7"/>
  <c r="Q50" i="7"/>
  <c r="O18" i="7"/>
  <c r="O76" i="7"/>
  <c r="O64" i="7"/>
  <c r="N47" i="7"/>
  <c r="N74" i="7"/>
  <c r="P70" i="7"/>
  <c r="O48" i="7"/>
  <c r="Q64" i="7"/>
  <c r="P80" i="7"/>
  <c r="P67" i="7"/>
  <c r="P22" i="7"/>
  <c r="Q82" i="7"/>
  <c r="Q59" i="7"/>
  <c r="P42" i="7"/>
  <c r="N45" i="7"/>
  <c r="P51" i="7"/>
  <c r="O70" i="7"/>
  <c r="P81" i="7"/>
  <c r="N75" i="7"/>
  <c r="N52" i="7"/>
  <c r="N41" i="7"/>
  <c r="Q58" i="7"/>
  <c r="O79" i="7"/>
  <c r="P66" i="7"/>
  <c r="P52" i="7"/>
  <c r="O71" i="7"/>
  <c r="S61" i="7"/>
  <c r="P76" i="7"/>
  <c r="N20" i="7"/>
  <c r="P73" i="7"/>
  <c r="N81" i="7"/>
  <c r="N12" i="7"/>
  <c r="P79" i="7"/>
  <c r="N22" i="7"/>
  <c r="Q78" i="7"/>
  <c r="N64" i="7"/>
  <c r="P62" i="7"/>
  <c r="S32" i="7"/>
  <c r="P14" i="7"/>
  <c r="N67" i="7"/>
  <c r="O42" i="7"/>
  <c r="S28" i="7"/>
  <c r="Q54" i="7"/>
  <c r="P78" i="7"/>
  <c r="Q20" i="7"/>
  <c r="Q18" i="7"/>
  <c r="Q72" i="7"/>
  <c r="Q14" i="7"/>
  <c r="Q12" i="7"/>
  <c r="Q66" i="7"/>
  <c r="Q46" i="7"/>
  <c r="O45" i="7"/>
  <c r="P8" i="7"/>
  <c r="P68" i="7"/>
  <c r="O66" i="7"/>
  <c r="O82" i="7"/>
  <c r="O57" i="7"/>
  <c r="N44" i="7"/>
  <c r="Q71" i="7"/>
  <c r="N59" i="7"/>
  <c r="P46" i="7"/>
  <c r="N8" i="7"/>
  <c r="P72" i="7"/>
  <c r="O72" i="7"/>
  <c r="N43" i="7"/>
  <c r="O67" i="7"/>
  <c r="O59" i="7"/>
  <c r="O8" i="7"/>
  <c r="O12" i="7"/>
  <c r="O14" i="7"/>
  <c r="P82" i="7"/>
  <c r="S41" i="7"/>
  <c r="S49" i="7"/>
  <c r="N18" i="7"/>
  <c r="P56" i="7"/>
  <c r="O51" i="7"/>
  <c r="N51" i="7"/>
  <c r="N65" i="7"/>
  <c r="O20" i="7"/>
  <c r="P45" i="7"/>
  <c r="N54" i="7"/>
  <c r="P64" i="7"/>
  <c r="N57" i="7"/>
  <c r="N53" i="7"/>
  <c r="O40" i="7"/>
  <c r="P74" i="7"/>
  <c r="N14" i="7"/>
  <c r="O46" i="7"/>
  <c r="Q32" i="7"/>
  <c r="O75" i="7"/>
  <c r="N76" i="7"/>
  <c r="N56" i="7"/>
  <c r="O80" i="7"/>
  <c r="O41" i="7"/>
  <c r="P59" i="7"/>
  <c r="Q49" i="7"/>
  <c r="Q22" i="7"/>
  <c r="N50" i="7"/>
  <c r="Q47" i="7"/>
  <c r="N70" i="7"/>
  <c r="N72" i="7"/>
  <c r="Q81" i="7"/>
  <c r="S16" i="7"/>
  <c r="Q62" i="7"/>
  <c r="Q70" i="7"/>
  <c r="O65" i="7"/>
  <c r="Q77" i="7"/>
  <c r="Q8" i="7"/>
  <c r="Q53" i="7"/>
  <c r="Q68" i="7"/>
  <c r="S14" i="7"/>
  <c r="S59" i="7"/>
  <c r="S51" i="7"/>
  <c r="S79" i="7"/>
  <c r="S71" i="7"/>
  <c r="S66" i="7"/>
  <c r="S44" i="7"/>
  <c r="S18" i="7"/>
  <c r="S63" i="7"/>
  <c r="S62" i="7"/>
  <c r="S73" i="7"/>
  <c r="S22" i="7"/>
  <c r="S46" i="7"/>
  <c r="S60" i="7"/>
  <c r="S42" i="7"/>
  <c r="S80" i="7"/>
  <c r="S56" i="7"/>
  <c r="S82" i="7"/>
  <c r="S8" i="7"/>
  <c r="S70" i="7"/>
  <c r="S72" i="7"/>
  <c r="S48" i="7"/>
  <c r="S20" i="7"/>
  <c r="S67" i="7"/>
  <c r="S57" i="7"/>
  <c r="S77" i="7"/>
  <c r="S54" i="7"/>
  <c r="S45" i="7"/>
  <c r="S64" i="7"/>
  <c r="S43" i="7"/>
  <c r="S40" i="7"/>
  <c r="S47" i="7"/>
  <c r="S53" i="7"/>
  <c r="S12" i="7"/>
  <c r="S68" i="7"/>
  <c r="S75" i="7"/>
  <c r="S34" i="7"/>
  <c r="S74" i="7"/>
  <c r="S10" i="7"/>
  <c r="S52" i="7"/>
  <c r="S81" i="7"/>
  <c r="S76" i="7"/>
  <c r="X68" i="7"/>
  <c r="U16" i="7"/>
  <c r="X38" i="7"/>
  <c r="X78" i="7"/>
  <c r="U36" i="7"/>
  <c r="V65" i="7"/>
  <c r="U30" i="7"/>
  <c r="X60" i="7"/>
  <c r="U51" i="7"/>
  <c r="U58" i="7"/>
  <c r="V26" i="7"/>
  <c r="V53" i="7"/>
  <c r="U55" i="7"/>
  <c r="V75" i="7"/>
  <c r="U42" i="7"/>
  <c r="U57" i="7"/>
  <c r="U69" i="7"/>
  <c r="W44" i="7"/>
  <c r="U76" i="7"/>
  <c r="V14" i="7"/>
  <c r="U49" i="7"/>
  <c r="U78" i="7"/>
  <c r="X80" i="7"/>
  <c r="W50" i="7"/>
  <c r="X65" i="7"/>
  <c r="U67" i="7"/>
  <c r="U32" i="7"/>
  <c r="U4" i="7"/>
  <c r="U22" i="7"/>
  <c r="U65" i="7"/>
  <c r="W47" i="7"/>
  <c r="W66" i="7"/>
  <c r="U59" i="7"/>
  <c r="W62" i="7"/>
  <c r="X4" i="7"/>
  <c r="W58" i="7"/>
  <c r="U44" i="7"/>
  <c r="X16" i="7"/>
  <c r="X55" i="7"/>
  <c r="U54" i="7"/>
  <c r="U47" i="7"/>
  <c r="W70" i="7"/>
  <c r="V18" i="7"/>
  <c r="U60" i="7"/>
  <c r="X69" i="7"/>
  <c r="W30" i="7"/>
  <c r="V59" i="7"/>
  <c r="U41" i="7"/>
  <c r="U14" i="7"/>
  <c r="V55" i="7"/>
  <c r="X44" i="7"/>
  <c r="W72" i="7"/>
  <c r="V40" i="7"/>
  <c r="U48" i="7"/>
  <c r="U12" i="7"/>
  <c r="V80" i="7"/>
  <c r="U24" i="7"/>
  <c r="U77" i="7"/>
  <c r="X24" i="7"/>
  <c r="W10" i="7"/>
  <c r="W16" i="7"/>
  <c r="V54" i="7"/>
  <c r="V61" i="7"/>
  <c r="U62" i="7"/>
  <c r="U40" i="7"/>
  <c r="V41" i="7"/>
  <c r="W67" i="7"/>
  <c r="W76" i="7"/>
  <c r="W55" i="7"/>
  <c r="W75" i="7"/>
  <c r="X46" i="7"/>
  <c r="U82" i="7"/>
  <c r="U63" i="7"/>
  <c r="U81" i="7"/>
  <c r="X8" i="7"/>
  <c r="U66" i="7"/>
  <c r="U79" i="7"/>
  <c r="U38" i="7"/>
  <c r="W8" i="7"/>
  <c r="W61" i="7"/>
  <c r="V32" i="7"/>
  <c r="W79" i="7"/>
  <c r="V47" i="7"/>
  <c r="U28" i="7"/>
  <c r="X14" i="7"/>
  <c r="W6" i="7"/>
  <c r="X62" i="7"/>
  <c r="W56" i="7"/>
  <c r="W41" i="7"/>
  <c r="V76" i="7"/>
  <c r="W80" i="7"/>
  <c r="W57" i="7"/>
  <c r="U75" i="7"/>
  <c r="W28" i="7"/>
  <c r="W68" i="7"/>
  <c r="U43" i="7"/>
  <c r="W24" i="7"/>
  <c r="W65" i="7"/>
  <c r="U80" i="7"/>
  <c r="W4" i="7"/>
  <c r="U71" i="7"/>
  <c r="U72" i="7"/>
  <c r="W40" i="7"/>
  <c r="U74" i="7"/>
  <c r="V78" i="7"/>
  <c r="U20" i="7"/>
  <c r="V12" i="7"/>
  <c r="W78" i="7"/>
  <c r="X63" i="7"/>
  <c r="U10" i="7"/>
  <c r="W32" i="7"/>
  <c r="V34" i="7"/>
  <c r="X48" i="7"/>
  <c r="V49" i="7"/>
  <c r="U73" i="7"/>
  <c r="V81" i="7"/>
  <c r="X74" i="7"/>
  <c r="X50" i="7"/>
  <c r="U68" i="7"/>
  <c r="V43" i="7"/>
  <c r="X10" i="7"/>
  <c r="W81" i="7"/>
  <c r="X53" i="7"/>
  <c r="W38" i="7"/>
  <c r="V50" i="7"/>
  <c r="V16" i="7"/>
  <c r="V8" i="7"/>
  <c r="W48" i="7"/>
  <c r="W73" i="7"/>
  <c r="U18" i="7"/>
  <c r="X43" i="7"/>
  <c r="V51" i="7"/>
  <c r="U6" i="7"/>
  <c r="X41" i="7"/>
  <c r="X76" i="7"/>
  <c r="X22" i="7"/>
  <c r="U8" i="7"/>
  <c r="U50" i="7"/>
  <c r="W43" i="7"/>
  <c r="V74" i="7"/>
  <c r="X32" i="7"/>
  <c r="V63" i="7"/>
  <c r="U45" i="7"/>
  <c r="X47" i="7"/>
  <c r="W52" i="7"/>
  <c r="X77" i="7"/>
  <c r="W12" i="7"/>
  <c r="W26" i="7"/>
  <c r="U34" i="7"/>
  <c r="U64" i="7"/>
  <c r="V77" i="7"/>
  <c r="U26" i="7"/>
  <c r="X6" i="7"/>
  <c r="X79" i="7"/>
  <c r="X66" i="7"/>
  <c r="X51" i="7"/>
  <c r="V79" i="7"/>
  <c r="V28" i="7"/>
  <c r="U46" i="7"/>
  <c r="U61" i="7"/>
  <c r="V69" i="7"/>
  <c r="U70" i="7"/>
  <c r="X30" i="7"/>
  <c r="V30" i="7"/>
  <c r="V4" i="7"/>
  <c r="W46" i="7"/>
  <c r="W60" i="7"/>
  <c r="V72" i="7"/>
  <c r="V73" i="7"/>
  <c r="U52" i="7"/>
  <c r="X18" i="7"/>
  <c r="U53" i="7"/>
  <c r="U56" i="7"/>
  <c r="X72" i="7"/>
  <c r="X45" i="7"/>
  <c r="W59" i="7"/>
  <c r="V70" i="7"/>
  <c r="V38" i="7"/>
  <c r="V20" i="7"/>
  <c r="W82" i="7"/>
  <c r="W22" i="7"/>
  <c r="X36" i="7"/>
  <c r="X70" i="7"/>
  <c r="X20" i="7"/>
  <c r="W54" i="7"/>
  <c r="W18" i="7"/>
  <c r="X34" i="7"/>
  <c r="X49" i="7"/>
  <c r="V10" i="7"/>
  <c r="X81" i="7"/>
  <c r="V67" i="7"/>
  <c r="V71" i="7"/>
  <c r="X58" i="7"/>
  <c r="W63" i="7"/>
  <c r="W51" i="7"/>
  <c r="X82" i="7"/>
  <c r="W34" i="7"/>
  <c r="W14" i="7"/>
  <c r="V6" i="7"/>
  <c r="V60" i="7"/>
  <c r="X42" i="7"/>
  <c r="X40" i="7"/>
  <c r="X56" i="7"/>
  <c r="V62" i="7"/>
  <c r="V48" i="7"/>
  <c r="W71" i="7"/>
  <c r="X61" i="7"/>
  <c r="V24" i="7"/>
  <c r="X67" i="7"/>
  <c r="W42" i="7"/>
  <c r="V64" i="7"/>
  <c r="V58" i="7"/>
  <c r="X75" i="7"/>
  <c r="W74" i="7"/>
  <c r="W36" i="7"/>
  <c r="W49" i="7"/>
  <c r="X12" i="7"/>
  <c r="X71" i="7"/>
  <c r="W77" i="7"/>
  <c r="W69" i="7"/>
  <c r="X59" i="7"/>
  <c r="V68" i="7"/>
  <c r="V82" i="7"/>
  <c r="X57" i="7"/>
  <c r="W45" i="7"/>
  <c r="V52" i="7"/>
  <c r="X26" i="7"/>
  <c r="X64" i="7"/>
  <c r="V44" i="7"/>
  <c r="V36" i="7"/>
  <c r="V22" i="7"/>
  <c r="X28" i="7"/>
  <c r="V57" i="7"/>
  <c r="V45" i="7"/>
  <c r="W64" i="7"/>
  <c r="V56" i="7"/>
  <c r="V66" i="7"/>
  <c r="W53" i="7"/>
  <c r="V42" i="7"/>
  <c r="W20" i="7"/>
  <c r="V46" i="7"/>
  <c r="X52" i="7"/>
  <c r="X54" i="7"/>
  <c r="X73" i="7"/>
  <c r="AA5" i="7"/>
  <c r="AF3" i="7"/>
  <c r="AF5" i="7"/>
  <c r="AD5" i="7"/>
  <c r="AD3" i="7"/>
  <c r="AY3" i="7" s="1"/>
  <c r="Y3" i="7"/>
  <c r="AA3" i="7" s="1"/>
  <c r="AS7" i="7"/>
  <c r="F1046" i="8"/>
  <c r="E52" i="1"/>
  <c r="I55" i="1"/>
  <c r="I1047" i="8" s="1"/>
  <c r="L51" i="1"/>
  <c r="L1043" i="8" s="1"/>
  <c r="F55" i="1"/>
  <c r="G55" i="1" s="1"/>
  <c r="E53" i="1"/>
  <c r="E1045" i="8" s="1"/>
  <c r="K50" i="1"/>
  <c r="K1042" i="8" s="1"/>
  <c r="J49" i="1"/>
  <c r="J1041" i="8" s="1"/>
  <c r="C56" i="1"/>
  <c r="C1048" i="8" s="1"/>
  <c r="B1048" i="8"/>
  <c r="H54" i="1"/>
  <c r="G1046" i="8"/>
  <c r="A1049" i="8"/>
  <c r="A58" i="1"/>
  <c r="B57" i="1"/>
  <c r="D57" i="1"/>
  <c r="D1048" i="8"/>
  <c r="Z5" i="7"/>
  <c r="AC5" i="7"/>
  <c r="AB5" i="7"/>
  <c r="AM13" i="7"/>
  <c r="AR9" i="7"/>
  <c r="AP11" i="7"/>
  <c r="AQ11" i="7"/>
  <c r="T3" i="7" l="1"/>
  <c r="M3" i="7"/>
  <c r="K85" i="7"/>
  <c r="D85" i="7"/>
  <c r="L85" i="7"/>
  <c r="E85" i="7"/>
  <c r="B85" i="7"/>
  <c r="F85" i="7"/>
  <c r="A85" i="7"/>
  <c r="H85" i="7"/>
  <c r="J85" i="7"/>
  <c r="G85" i="7"/>
  <c r="I85" i="7"/>
  <c r="C85" i="7"/>
  <c r="O3" i="7"/>
  <c r="C86" i="7"/>
  <c r="B86" i="7"/>
  <c r="H86" i="7"/>
  <c r="I86" i="7"/>
  <c r="J86" i="7"/>
  <c r="A86" i="7"/>
  <c r="D86" i="7"/>
  <c r="E86" i="7"/>
  <c r="K86" i="7"/>
  <c r="F86" i="7"/>
  <c r="L86" i="7"/>
  <c r="G86" i="7"/>
  <c r="A10" i="7"/>
  <c r="E10" i="7"/>
  <c r="I10" i="7"/>
  <c r="C10" i="7"/>
  <c r="G10" i="7"/>
  <c r="K10" i="7"/>
  <c r="D10" i="7"/>
  <c r="H10" i="7"/>
  <c r="L10" i="7"/>
  <c r="J10" i="7"/>
  <c r="B10" i="7"/>
  <c r="F10" i="7"/>
  <c r="B64" i="7"/>
  <c r="F64" i="7"/>
  <c r="J64" i="7"/>
  <c r="E64" i="7"/>
  <c r="K64" i="7"/>
  <c r="A64" i="7"/>
  <c r="G64" i="7"/>
  <c r="L64" i="7"/>
  <c r="C64" i="7"/>
  <c r="H64" i="7"/>
  <c r="D64" i="7"/>
  <c r="I64" i="7"/>
  <c r="D51" i="7"/>
  <c r="H51" i="7"/>
  <c r="L51" i="7"/>
  <c r="B51" i="7"/>
  <c r="F51" i="7"/>
  <c r="J51" i="7"/>
  <c r="G51" i="7"/>
  <c r="A51" i="7"/>
  <c r="I51" i="7"/>
  <c r="C51" i="7"/>
  <c r="K51" i="7"/>
  <c r="E51" i="7"/>
  <c r="A16" i="7"/>
  <c r="E16" i="7"/>
  <c r="I16" i="7"/>
  <c r="C16" i="7"/>
  <c r="G16" i="7"/>
  <c r="K16" i="7"/>
  <c r="D16" i="7"/>
  <c r="H16" i="7"/>
  <c r="L16" i="7"/>
  <c r="F16" i="7"/>
  <c r="B16" i="7"/>
  <c r="J16" i="7"/>
  <c r="B84" i="7"/>
  <c r="F84" i="7"/>
  <c r="J84" i="7"/>
  <c r="E84" i="7"/>
  <c r="K84" i="7"/>
  <c r="C84" i="7"/>
  <c r="H84" i="7"/>
  <c r="D84" i="7"/>
  <c r="I84" i="7"/>
  <c r="L84" i="7"/>
  <c r="A84" i="7"/>
  <c r="G84" i="7"/>
  <c r="B66" i="7"/>
  <c r="F66" i="7"/>
  <c r="J66" i="7"/>
  <c r="C66" i="7"/>
  <c r="H66" i="7"/>
  <c r="D66" i="7"/>
  <c r="I66" i="7"/>
  <c r="E66" i="7"/>
  <c r="K66" i="7"/>
  <c r="A66" i="7"/>
  <c r="G66" i="7"/>
  <c r="L66" i="7"/>
  <c r="D52" i="7"/>
  <c r="H52" i="7"/>
  <c r="B52" i="7"/>
  <c r="F52" i="7"/>
  <c r="J52" i="7"/>
  <c r="C52" i="7"/>
  <c r="K52" i="7"/>
  <c r="E52" i="7"/>
  <c r="L52" i="7"/>
  <c r="G52" i="7"/>
  <c r="A52" i="7"/>
  <c r="I52" i="7"/>
  <c r="B63" i="7"/>
  <c r="F63" i="7"/>
  <c r="J63" i="7"/>
  <c r="A63" i="7"/>
  <c r="G63" i="7"/>
  <c r="L63" i="7"/>
  <c r="C63" i="7"/>
  <c r="H63" i="7"/>
  <c r="D63" i="7"/>
  <c r="I63" i="7"/>
  <c r="E63" i="7"/>
  <c r="K63" i="7"/>
  <c r="B59" i="7"/>
  <c r="F59" i="7"/>
  <c r="J59" i="7"/>
  <c r="A59" i="7"/>
  <c r="G59" i="7"/>
  <c r="L59" i="7"/>
  <c r="C59" i="7"/>
  <c r="H59" i="7"/>
  <c r="D59" i="7"/>
  <c r="I59" i="7"/>
  <c r="E59" i="7"/>
  <c r="K59" i="7"/>
  <c r="B54" i="7"/>
  <c r="F54" i="7"/>
  <c r="J54" i="7"/>
  <c r="C54" i="7"/>
  <c r="H54" i="7"/>
  <c r="D54" i="7"/>
  <c r="I54" i="7"/>
  <c r="E54" i="7"/>
  <c r="K54" i="7"/>
  <c r="A54" i="7"/>
  <c r="G54" i="7"/>
  <c r="L54" i="7"/>
  <c r="B65" i="7"/>
  <c r="F65" i="7"/>
  <c r="J65" i="7"/>
  <c r="D65" i="7"/>
  <c r="I65" i="7"/>
  <c r="E65" i="7"/>
  <c r="K65" i="7"/>
  <c r="A65" i="7"/>
  <c r="G65" i="7"/>
  <c r="L65" i="7"/>
  <c r="C65" i="7"/>
  <c r="H65" i="7"/>
  <c r="B77" i="7"/>
  <c r="F77" i="7"/>
  <c r="J77" i="7"/>
  <c r="D77" i="7"/>
  <c r="I77" i="7"/>
  <c r="K77" i="7"/>
  <c r="E77" i="7"/>
  <c r="A77" i="7"/>
  <c r="G77" i="7"/>
  <c r="L77" i="7"/>
  <c r="C77" i="7"/>
  <c r="H77" i="7"/>
  <c r="B67" i="7"/>
  <c r="F67" i="7"/>
  <c r="J67" i="7"/>
  <c r="A67" i="7"/>
  <c r="G67" i="7"/>
  <c r="L67" i="7"/>
  <c r="C67" i="7"/>
  <c r="H67" i="7"/>
  <c r="D67" i="7"/>
  <c r="I67" i="7"/>
  <c r="E67" i="7"/>
  <c r="K67" i="7"/>
  <c r="A8" i="7"/>
  <c r="E8" i="7"/>
  <c r="I8" i="7"/>
  <c r="C8" i="7"/>
  <c r="G8" i="7"/>
  <c r="K8" i="7"/>
  <c r="D8" i="7"/>
  <c r="H8" i="7"/>
  <c r="L8" i="7"/>
  <c r="F8" i="7"/>
  <c r="B8" i="7"/>
  <c r="J8" i="7"/>
  <c r="A18" i="7"/>
  <c r="E18" i="7"/>
  <c r="I18" i="7"/>
  <c r="C18" i="7"/>
  <c r="G18" i="7"/>
  <c r="K18" i="7"/>
  <c r="D18" i="7"/>
  <c r="H18" i="7"/>
  <c r="L18" i="7"/>
  <c r="B18" i="7"/>
  <c r="F18" i="7"/>
  <c r="J18" i="7"/>
  <c r="D38" i="7"/>
  <c r="H38" i="7"/>
  <c r="L38" i="7"/>
  <c r="C38" i="7"/>
  <c r="I38" i="7"/>
  <c r="E38" i="7"/>
  <c r="J38" i="7"/>
  <c r="A38" i="7"/>
  <c r="F38" i="7"/>
  <c r="K38" i="7"/>
  <c r="G38" i="7"/>
  <c r="B38" i="7"/>
  <c r="B57" i="7"/>
  <c r="F57" i="7"/>
  <c r="J57" i="7"/>
  <c r="D57" i="7"/>
  <c r="I57" i="7"/>
  <c r="E57" i="7"/>
  <c r="K57" i="7"/>
  <c r="A57" i="7"/>
  <c r="G57" i="7"/>
  <c r="L57" i="7"/>
  <c r="C57" i="7"/>
  <c r="H57" i="7"/>
  <c r="B71" i="7"/>
  <c r="F71" i="7"/>
  <c r="J71" i="7"/>
  <c r="A71" i="7"/>
  <c r="G71" i="7"/>
  <c r="L71" i="7"/>
  <c r="C71" i="7"/>
  <c r="H71" i="7"/>
  <c r="D71" i="7"/>
  <c r="I71" i="7"/>
  <c r="E71" i="7"/>
  <c r="K71" i="7"/>
  <c r="B79" i="7"/>
  <c r="F79" i="7"/>
  <c r="J79" i="7"/>
  <c r="A79" i="7"/>
  <c r="G79" i="7"/>
  <c r="L79" i="7"/>
  <c r="C79" i="7"/>
  <c r="H79" i="7"/>
  <c r="D79" i="7"/>
  <c r="I79" i="7"/>
  <c r="E79" i="7"/>
  <c r="K79" i="7"/>
  <c r="D49" i="7"/>
  <c r="H49" i="7"/>
  <c r="L49" i="7"/>
  <c r="E49" i="7"/>
  <c r="J49" i="7"/>
  <c r="B49" i="7"/>
  <c r="G49" i="7"/>
  <c r="C49" i="7"/>
  <c r="F49" i="7"/>
  <c r="I49" i="7"/>
  <c r="A49" i="7"/>
  <c r="K49" i="7"/>
  <c r="B73" i="7"/>
  <c r="F73" i="7"/>
  <c r="J73" i="7"/>
  <c r="D73" i="7"/>
  <c r="I73" i="7"/>
  <c r="E73" i="7"/>
  <c r="K73" i="7"/>
  <c r="A73" i="7"/>
  <c r="G73" i="7"/>
  <c r="L73" i="7"/>
  <c r="C73" i="7"/>
  <c r="H73" i="7"/>
  <c r="D48" i="7"/>
  <c r="H48" i="7"/>
  <c r="L48" i="7"/>
  <c r="A48" i="7"/>
  <c r="F48" i="7"/>
  <c r="K48" i="7"/>
  <c r="C48" i="7"/>
  <c r="I48" i="7"/>
  <c r="E48" i="7"/>
  <c r="G48" i="7"/>
  <c r="J48" i="7"/>
  <c r="B48" i="7"/>
  <c r="B74" i="7"/>
  <c r="F74" i="7"/>
  <c r="J74" i="7"/>
  <c r="C74" i="7"/>
  <c r="H74" i="7"/>
  <c r="D74" i="7"/>
  <c r="I74" i="7"/>
  <c r="E74" i="7"/>
  <c r="K74" i="7"/>
  <c r="A74" i="7"/>
  <c r="G74" i="7"/>
  <c r="L74" i="7"/>
  <c r="B56" i="7"/>
  <c r="F56" i="7"/>
  <c r="J56" i="7"/>
  <c r="E56" i="7"/>
  <c r="K56" i="7"/>
  <c r="A56" i="7"/>
  <c r="G56" i="7"/>
  <c r="L56" i="7"/>
  <c r="C56" i="7"/>
  <c r="H56" i="7"/>
  <c r="D56" i="7"/>
  <c r="I56" i="7"/>
  <c r="B80" i="7"/>
  <c r="F80" i="7"/>
  <c r="J80" i="7"/>
  <c r="E80" i="7"/>
  <c r="K80" i="7"/>
  <c r="A80" i="7"/>
  <c r="L80" i="7"/>
  <c r="G80" i="7"/>
  <c r="C80" i="7"/>
  <c r="H80" i="7"/>
  <c r="D80" i="7"/>
  <c r="I80" i="7"/>
  <c r="B58" i="7"/>
  <c r="F58" i="7"/>
  <c r="J58" i="7"/>
  <c r="C58" i="7"/>
  <c r="H58" i="7"/>
  <c r="D58" i="7"/>
  <c r="I58" i="7"/>
  <c r="E58" i="7"/>
  <c r="K58" i="7"/>
  <c r="A58" i="7"/>
  <c r="G58" i="7"/>
  <c r="L58" i="7"/>
  <c r="D47" i="7"/>
  <c r="H47" i="7"/>
  <c r="L47" i="7"/>
  <c r="B47" i="7"/>
  <c r="G47" i="7"/>
  <c r="E47" i="7"/>
  <c r="J47" i="7"/>
  <c r="F47" i="7"/>
  <c r="I47" i="7"/>
  <c r="A47" i="7"/>
  <c r="K47" i="7"/>
  <c r="C47" i="7"/>
  <c r="B81" i="7"/>
  <c r="F81" i="7"/>
  <c r="J81" i="7"/>
  <c r="D81" i="7"/>
  <c r="I81" i="7"/>
  <c r="E81" i="7"/>
  <c r="K81" i="7"/>
  <c r="A81" i="7"/>
  <c r="G81" i="7"/>
  <c r="L81" i="7"/>
  <c r="C81" i="7"/>
  <c r="H81" i="7"/>
  <c r="B76" i="7"/>
  <c r="F76" i="7"/>
  <c r="J76" i="7"/>
  <c r="E76" i="7"/>
  <c r="K76" i="7"/>
  <c r="A76" i="7"/>
  <c r="G76" i="7"/>
  <c r="L76" i="7"/>
  <c r="C76" i="7"/>
  <c r="H76" i="7"/>
  <c r="D76" i="7"/>
  <c r="I76" i="7"/>
  <c r="D50" i="7"/>
  <c r="C50" i="7"/>
  <c r="H50" i="7"/>
  <c r="L50" i="7"/>
  <c r="A50" i="7"/>
  <c r="F50" i="7"/>
  <c r="J50" i="7"/>
  <c r="B50" i="7"/>
  <c r="K50" i="7"/>
  <c r="E50" i="7"/>
  <c r="G50" i="7"/>
  <c r="I50" i="7"/>
  <c r="B69" i="7"/>
  <c r="F69" i="7"/>
  <c r="J69" i="7"/>
  <c r="D69" i="7"/>
  <c r="I69" i="7"/>
  <c r="E69" i="7"/>
  <c r="K69" i="7"/>
  <c r="A69" i="7"/>
  <c r="G69" i="7"/>
  <c r="L69" i="7"/>
  <c r="C69" i="7"/>
  <c r="H69" i="7"/>
  <c r="A32" i="7"/>
  <c r="E32" i="7"/>
  <c r="I32" i="7"/>
  <c r="F32" i="7"/>
  <c r="K32" i="7"/>
  <c r="C32" i="7"/>
  <c r="J32" i="7"/>
  <c r="D32" i="7"/>
  <c r="L32" i="7"/>
  <c r="G32" i="7"/>
  <c r="B32" i="7"/>
  <c r="H32" i="7"/>
  <c r="A6" i="7"/>
  <c r="E6" i="7"/>
  <c r="I6" i="7"/>
  <c r="C6" i="7"/>
  <c r="G6" i="7"/>
  <c r="K6" i="7"/>
  <c r="D6" i="7"/>
  <c r="H6" i="7"/>
  <c r="L6" i="7"/>
  <c r="B6" i="7"/>
  <c r="F6" i="7"/>
  <c r="J6" i="7"/>
  <c r="D40" i="7"/>
  <c r="H40" i="7"/>
  <c r="L40" i="7"/>
  <c r="A40" i="7"/>
  <c r="F40" i="7"/>
  <c r="K40" i="7"/>
  <c r="B40" i="7"/>
  <c r="C40" i="7"/>
  <c r="I40" i="7"/>
  <c r="E40" i="7"/>
  <c r="G40" i="7"/>
  <c r="J40" i="7"/>
  <c r="A26" i="7"/>
  <c r="E26" i="7"/>
  <c r="I26" i="7"/>
  <c r="C26" i="7"/>
  <c r="B26" i="7"/>
  <c r="H26" i="7"/>
  <c r="D26" i="7"/>
  <c r="K26" i="7"/>
  <c r="F26" i="7"/>
  <c r="L26" i="7"/>
  <c r="G26" i="7"/>
  <c r="J26" i="7"/>
  <c r="B70" i="7"/>
  <c r="F70" i="7"/>
  <c r="J70" i="7"/>
  <c r="C70" i="7"/>
  <c r="H70" i="7"/>
  <c r="D70" i="7"/>
  <c r="I70" i="7"/>
  <c r="E70" i="7"/>
  <c r="K70" i="7"/>
  <c r="A70" i="7"/>
  <c r="G70" i="7"/>
  <c r="L70" i="7"/>
  <c r="B83" i="7"/>
  <c r="F83" i="7"/>
  <c r="J83" i="7"/>
  <c r="A83" i="7"/>
  <c r="G83" i="7"/>
  <c r="L83" i="7"/>
  <c r="D83" i="7"/>
  <c r="I83" i="7"/>
  <c r="E83" i="7"/>
  <c r="K83" i="7"/>
  <c r="C83" i="7"/>
  <c r="H83" i="7"/>
  <c r="B68" i="7"/>
  <c r="F68" i="7"/>
  <c r="J68" i="7"/>
  <c r="E68" i="7"/>
  <c r="K68" i="7"/>
  <c r="A68" i="7"/>
  <c r="G68" i="7"/>
  <c r="L68" i="7"/>
  <c r="C68" i="7"/>
  <c r="H68" i="7"/>
  <c r="D68" i="7"/>
  <c r="I68" i="7"/>
  <c r="A20" i="7"/>
  <c r="E20" i="7"/>
  <c r="I20" i="7"/>
  <c r="C20" i="7"/>
  <c r="G20" i="7"/>
  <c r="K20" i="7"/>
  <c r="D20" i="7"/>
  <c r="H20" i="7"/>
  <c r="L20" i="7"/>
  <c r="F20" i="7"/>
  <c r="B20" i="7"/>
  <c r="J20" i="7"/>
  <c r="B60" i="7"/>
  <c r="F60" i="7"/>
  <c r="J60" i="7"/>
  <c r="E60" i="7"/>
  <c r="K60" i="7"/>
  <c r="A60" i="7"/>
  <c r="G60" i="7"/>
  <c r="L60" i="7"/>
  <c r="C60" i="7"/>
  <c r="H60" i="7"/>
  <c r="D60" i="7"/>
  <c r="I60" i="7"/>
  <c r="B53" i="7"/>
  <c r="F53" i="7"/>
  <c r="J53" i="7"/>
  <c r="D53" i="7"/>
  <c r="I53" i="7"/>
  <c r="E53" i="7"/>
  <c r="K53" i="7"/>
  <c r="A53" i="7"/>
  <c r="G53" i="7"/>
  <c r="L53" i="7"/>
  <c r="C53" i="7"/>
  <c r="H53" i="7"/>
  <c r="B82" i="7"/>
  <c r="F82" i="7"/>
  <c r="J82" i="7"/>
  <c r="C82" i="7"/>
  <c r="H82" i="7"/>
  <c r="E82" i="7"/>
  <c r="K82" i="7"/>
  <c r="A82" i="7"/>
  <c r="G82" i="7"/>
  <c r="L82" i="7"/>
  <c r="D82" i="7"/>
  <c r="I82" i="7"/>
  <c r="A12" i="7"/>
  <c r="E12" i="7"/>
  <c r="I12" i="7"/>
  <c r="C12" i="7"/>
  <c r="G12" i="7"/>
  <c r="K12" i="7"/>
  <c r="D12" i="7"/>
  <c r="H12" i="7"/>
  <c r="L12" i="7"/>
  <c r="F12" i="7"/>
  <c r="J12" i="7"/>
  <c r="B12" i="7"/>
  <c r="D42" i="7"/>
  <c r="H42" i="7"/>
  <c r="L42" i="7"/>
  <c r="C42" i="7"/>
  <c r="I42" i="7"/>
  <c r="A42" i="7"/>
  <c r="F42" i="7"/>
  <c r="K42" i="7"/>
  <c r="B42" i="7"/>
  <c r="E42" i="7"/>
  <c r="G42" i="7"/>
  <c r="J42" i="7"/>
  <c r="B78" i="7"/>
  <c r="F78" i="7"/>
  <c r="J78" i="7"/>
  <c r="C78" i="7"/>
  <c r="H78" i="7"/>
  <c r="D78" i="7"/>
  <c r="I78" i="7"/>
  <c r="E78" i="7"/>
  <c r="K78" i="7"/>
  <c r="A78" i="7"/>
  <c r="G78" i="7"/>
  <c r="L78" i="7"/>
  <c r="D44" i="7"/>
  <c r="H44" i="7"/>
  <c r="L44" i="7"/>
  <c r="A44" i="7"/>
  <c r="F44" i="7"/>
  <c r="K44" i="7"/>
  <c r="C44" i="7"/>
  <c r="I44" i="7"/>
  <c r="J44" i="7"/>
  <c r="B44" i="7"/>
  <c r="E44" i="7"/>
  <c r="G44" i="7"/>
  <c r="A30" i="7"/>
  <c r="E30" i="7"/>
  <c r="I30" i="7"/>
  <c r="C30" i="7"/>
  <c r="H30" i="7"/>
  <c r="F30" i="7"/>
  <c r="L30" i="7"/>
  <c r="G30" i="7"/>
  <c r="B30" i="7"/>
  <c r="J30" i="7"/>
  <c r="K30" i="7"/>
  <c r="D30" i="7"/>
  <c r="A28" i="7"/>
  <c r="E28" i="7"/>
  <c r="I28" i="7"/>
  <c r="F28" i="7"/>
  <c r="K28" i="7"/>
  <c r="B28" i="7"/>
  <c r="H28" i="7"/>
  <c r="C28" i="7"/>
  <c r="J28" i="7"/>
  <c r="D28" i="7"/>
  <c r="L28" i="7"/>
  <c r="G28" i="7"/>
  <c r="B55" i="7"/>
  <c r="F55" i="7"/>
  <c r="J55" i="7"/>
  <c r="A55" i="7"/>
  <c r="G55" i="7"/>
  <c r="L55" i="7"/>
  <c r="C55" i="7"/>
  <c r="H55" i="7"/>
  <c r="D55" i="7"/>
  <c r="I55" i="7"/>
  <c r="E55" i="7"/>
  <c r="K55" i="7"/>
  <c r="B72" i="7"/>
  <c r="F72" i="7"/>
  <c r="J72" i="7"/>
  <c r="E72" i="7"/>
  <c r="K72" i="7"/>
  <c r="A72" i="7"/>
  <c r="G72" i="7"/>
  <c r="L72" i="7"/>
  <c r="C72" i="7"/>
  <c r="H72" i="7"/>
  <c r="D72" i="7"/>
  <c r="I72" i="7"/>
  <c r="A24" i="7"/>
  <c r="E24" i="7"/>
  <c r="I24" i="7"/>
  <c r="C24" i="7"/>
  <c r="G24" i="7"/>
  <c r="K24" i="7"/>
  <c r="B24" i="7"/>
  <c r="J24" i="7"/>
  <c r="F24" i="7"/>
  <c r="H24" i="7"/>
  <c r="L24" i="7"/>
  <c r="D24" i="7"/>
  <c r="D34" i="7"/>
  <c r="H34" i="7"/>
  <c r="L34" i="7"/>
  <c r="C34" i="7"/>
  <c r="I34" i="7"/>
  <c r="E34" i="7"/>
  <c r="J34" i="7"/>
  <c r="A34" i="7"/>
  <c r="F34" i="7"/>
  <c r="K34" i="7"/>
  <c r="B34" i="7"/>
  <c r="G34" i="7"/>
  <c r="A14" i="7"/>
  <c r="E14" i="7"/>
  <c r="I14" i="7"/>
  <c r="C14" i="7"/>
  <c r="G14" i="7"/>
  <c r="K14" i="7"/>
  <c r="D14" i="7"/>
  <c r="H14" i="7"/>
  <c r="L14" i="7"/>
  <c r="F14" i="7"/>
  <c r="J14" i="7"/>
  <c r="B14" i="7"/>
  <c r="A22" i="7"/>
  <c r="E22" i="7"/>
  <c r="I22" i="7"/>
  <c r="C22" i="7"/>
  <c r="G22" i="7"/>
  <c r="K22" i="7"/>
  <c r="D22" i="7"/>
  <c r="H22" i="7"/>
  <c r="L22" i="7"/>
  <c r="B22" i="7"/>
  <c r="F22" i="7"/>
  <c r="J22" i="7"/>
  <c r="B61" i="7"/>
  <c r="F61" i="7"/>
  <c r="J61" i="7"/>
  <c r="D61" i="7"/>
  <c r="I61" i="7"/>
  <c r="E61" i="7"/>
  <c r="K61" i="7"/>
  <c r="A61" i="7"/>
  <c r="G61" i="7"/>
  <c r="L61" i="7"/>
  <c r="C61" i="7"/>
  <c r="H61" i="7"/>
  <c r="D43" i="7"/>
  <c r="H43" i="7"/>
  <c r="L43" i="7"/>
  <c r="B43" i="7"/>
  <c r="G43" i="7"/>
  <c r="E43" i="7"/>
  <c r="J43" i="7"/>
  <c r="A43" i="7"/>
  <c r="K43" i="7"/>
  <c r="C43" i="7"/>
  <c r="F43" i="7"/>
  <c r="I43" i="7"/>
  <c r="D36" i="7"/>
  <c r="H36" i="7"/>
  <c r="L36" i="7"/>
  <c r="A36" i="7"/>
  <c r="F36" i="7"/>
  <c r="K36" i="7"/>
  <c r="B36" i="7"/>
  <c r="G36" i="7"/>
  <c r="C36" i="7"/>
  <c r="I36" i="7"/>
  <c r="J36" i="7"/>
  <c r="E36" i="7"/>
  <c r="D46" i="7"/>
  <c r="H46" i="7"/>
  <c r="L46" i="7"/>
  <c r="C46" i="7"/>
  <c r="I46" i="7"/>
  <c r="A46" i="7"/>
  <c r="F46" i="7"/>
  <c r="K46" i="7"/>
  <c r="G46" i="7"/>
  <c r="J46" i="7"/>
  <c r="B46" i="7"/>
  <c r="E46" i="7"/>
  <c r="D45" i="7"/>
  <c r="H45" i="7"/>
  <c r="L45" i="7"/>
  <c r="E45" i="7"/>
  <c r="J45" i="7"/>
  <c r="B45" i="7"/>
  <c r="G45" i="7"/>
  <c r="I45" i="7"/>
  <c r="A45" i="7"/>
  <c r="K45" i="7"/>
  <c r="C45" i="7"/>
  <c r="F45" i="7"/>
  <c r="B75" i="7"/>
  <c r="F75" i="7"/>
  <c r="J75" i="7"/>
  <c r="A75" i="7"/>
  <c r="G75" i="7"/>
  <c r="L75" i="7"/>
  <c r="C75" i="7"/>
  <c r="H75" i="7"/>
  <c r="D75" i="7"/>
  <c r="I75" i="7"/>
  <c r="E75" i="7"/>
  <c r="K75" i="7"/>
  <c r="B62" i="7"/>
  <c r="F62" i="7"/>
  <c r="J62" i="7"/>
  <c r="C62" i="7"/>
  <c r="H62" i="7"/>
  <c r="D62" i="7"/>
  <c r="I62" i="7"/>
  <c r="E62" i="7"/>
  <c r="K62" i="7"/>
  <c r="A62" i="7"/>
  <c r="G62" i="7"/>
  <c r="L62" i="7"/>
  <c r="AZ5" i="7"/>
  <c r="AT5" i="7"/>
  <c r="R3" i="7"/>
  <c r="AY5" i="7"/>
  <c r="Z3" i="7"/>
  <c r="N3" i="7" s="1"/>
  <c r="AC3" i="7"/>
  <c r="Q3" i="7" s="1"/>
  <c r="AB3" i="7"/>
  <c r="P3" i="7" s="1"/>
  <c r="AT3" i="7"/>
  <c r="AF7" i="7"/>
  <c r="T5" i="7" s="1"/>
  <c r="AS9" i="7"/>
  <c r="I56" i="1"/>
  <c r="I1048" i="8" s="1"/>
  <c r="L53" i="1"/>
  <c r="L1045" i="8" s="1"/>
  <c r="L52" i="1"/>
  <c r="L1044" i="8" s="1"/>
  <c r="E1044" i="8"/>
  <c r="F1047" i="8"/>
  <c r="K51" i="1"/>
  <c r="K1043" i="8" s="1"/>
  <c r="J50" i="1"/>
  <c r="J1042" i="8" s="1"/>
  <c r="F56" i="1"/>
  <c r="F1048" i="8" s="1"/>
  <c r="B1049" i="8"/>
  <c r="C57" i="1"/>
  <c r="C1049" i="8" s="1"/>
  <c r="H1046" i="8"/>
  <c r="E54" i="1"/>
  <c r="A1050" i="8"/>
  <c r="A59" i="1"/>
  <c r="B58" i="1"/>
  <c r="D58" i="1"/>
  <c r="H55" i="1"/>
  <c r="G1047" i="8"/>
  <c r="D1049" i="8"/>
  <c r="Y7" i="7"/>
  <c r="M5" i="7" s="1"/>
  <c r="AD7" i="7"/>
  <c r="R5" i="7" s="1"/>
  <c r="AE5" i="7"/>
  <c r="AU5" i="7"/>
  <c r="AX5" i="7"/>
  <c r="AR11" i="7"/>
  <c r="AQ13" i="7"/>
  <c r="AP13" i="7"/>
  <c r="AM15" i="7"/>
  <c r="BB5" i="7" l="1"/>
  <c r="AV5" i="7"/>
  <c r="A5" i="7"/>
  <c r="E5" i="7"/>
  <c r="C5" i="7"/>
  <c r="D5" i="7"/>
  <c r="H5" i="7"/>
  <c r="B5" i="7"/>
  <c r="F5" i="7"/>
  <c r="S3" i="7"/>
  <c r="G5" i="7" s="1"/>
  <c r="AE3" i="7"/>
  <c r="AT7" i="7"/>
  <c r="AW5" i="7"/>
  <c r="BA5" i="7" s="1"/>
  <c r="AU3" i="7"/>
  <c r="AV3" i="7" s="1"/>
  <c r="AZ3" i="7"/>
  <c r="BB3" i="7" s="1"/>
  <c r="AX3" i="7"/>
  <c r="Y9" i="7"/>
  <c r="M7" i="7" s="1"/>
  <c r="AD9" i="7"/>
  <c r="R7" i="7" s="1"/>
  <c r="AS11" i="7"/>
  <c r="AF11" i="7" s="1"/>
  <c r="AF9" i="7"/>
  <c r="T7" i="7" s="1"/>
  <c r="K53" i="1"/>
  <c r="K1045" i="8" s="1"/>
  <c r="I57" i="1"/>
  <c r="I1049" i="8" s="1"/>
  <c r="K52" i="1"/>
  <c r="K1044" i="8" s="1"/>
  <c r="G56" i="1"/>
  <c r="H56" i="1" s="1"/>
  <c r="J51" i="1"/>
  <c r="J1043" i="8" s="1"/>
  <c r="F57" i="1"/>
  <c r="G57" i="1" s="1"/>
  <c r="H1047" i="8"/>
  <c r="E55" i="1"/>
  <c r="D1050" i="8"/>
  <c r="E1046" i="8"/>
  <c r="L54" i="1"/>
  <c r="L1046" i="8" s="1"/>
  <c r="B1050" i="8"/>
  <c r="C58" i="1"/>
  <c r="C1050" i="8" s="1"/>
  <c r="A1051" i="8"/>
  <c r="A60" i="1"/>
  <c r="B59" i="1"/>
  <c r="D59" i="1"/>
  <c r="AC7" i="7"/>
  <c r="Q5" i="7" s="1"/>
  <c r="AA7" i="7"/>
  <c r="O5" i="7" s="1"/>
  <c r="AB7" i="7"/>
  <c r="P5" i="7" s="1"/>
  <c r="AY7" i="7"/>
  <c r="Z7" i="7"/>
  <c r="N5" i="7" s="1"/>
  <c r="AR13" i="7"/>
  <c r="AM17" i="7"/>
  <c r="AQ15" i="7"/>
  <c r="AP15" i="7"/>
  <c r="BC5" i="7" l="1"/>
  <c r="BD5" i="7" s="1"/>
  <c r="AG5" i="7" s="1"/>
  <c r="T9" i="7"/>
  <c r="A7" i="7"/>
  <c r="E7" i="7"/>
  <c r="C7" i="7"/>
  <c r="D7" i="7"/>
  <c r="H7" i="7"/>
  <c r="B7" i="7"/>
  <c r="F7" i="7"/>
  <c r="AW3" i="7"/>
  <c r="BA3" i="7" s="1"/>
  <c r="BC3" i="7" s="1"/>
  <c r="AT9" i="7"/>
  <c r="AE7" i="7"/>
  <c r="S5" i="7" s="1"/>
  <c r="G7" i="7" s="1"/>
  <c r="AA9" i="7"/>
  <c r="O7" i="7" s="1"/>
  <c r="AY9" i="7"/>
  <c r="AC9" i="7"/>
  <c r="Q7" i="7" s="1"/>
  <c r="AB9" i="7"/>
  <c r="P7" i="7" s="1"/>
  <c r="Z9" i="7"/>
  <c r="N7" i="7" s="1"/>
  <c r="AS13" i="7"/>
  <c r="AF13" i="7" s="1"/>
  <c r="T11" i="7" s="1"/>
  <c r="J53" i="1"/>
  <c r="J1045" i="8" s="1"/>
  <c r="J52" i="1"/>
  <c r="J1044" i="8" s="1"/>
  <c r="G1048" i="8"/>
  <c r="F1049" i="8"/>
  <c r="I58" i="1"/>
  <c r="I1050" i="8" s="1"/>
  <c r="B1051" i="8"/>
  <c r="C59" i="1"/>
  <c r="C1051" i="8" s="1"/>
  <c r="K54" i="1"/>
  <c r="F58" i="1"/>
  <c r="D1051" i="8"/>
  <c r="H1048" i="8"/>
  <c r="E56" i="1"/>
  <c r="A1052" i="8"/>
  <c r="A61" i="1"/>
  <c r="B60" i="1"/>
  <c r="D60" i="1"/>
  <c r="G1049" i="8"/>
  <c r="H57" i="1"/>
  <c r="H1049" i="8" s="1"/>
  <c r="E1047" i="8"/>
  <c r="L55" i="1"/>
  <c r="L1047" i="8" s="1"/>
  <c r="AZ7" i="7"/>
  <c r="BB7" i="7" s="1"/>
  <c r="AU7" i="7"/>
  <c r="AV7" i="7" s="1"/>
  <c r="AX7" i="7"/>
  <c r="Y11" i="7"/>
  <c r="M9" i="7" s="1"/>
  <c r="AD11" i="7"/>
  <c r="R9" i="7" s="1"/>
  <c r="AP17" i="7"/>
  <c r="AQ17" i="7"/>
  <c r="AR15" i="7"/>
  <c r="AM19" i="7"/>
  <c r="BE5" i="7" l="1"/>
  <c r="BG5" i="7" s="1"/>
  <c r="BF5" i="7"/>
  <c r="AI5" i="7" s="1"/>
  <c r="AW7" i="7"/>
  <c r="BA7" i="7" s="1"/>
  <c r="BC7" i="7" s="1"/>
  <c r="BD7" i="7" s="1"/>
  <c r="A9" i="7"/>
  <c r="E9" i="7"/>
  <c r="C9" i="7"/>
  <c r="D9" i="7"/>
  <c r="H9" i="7"/>
  <c r="B9" i="7"/>
  <c r="F9" i="7"/>
  <c r="AY11" i="7"/>
  <c r="AU9" i="7"/>
  <c r="AV9" i="7" s="1"/>
  <c r="AE9" i="7"/>
  <c r="S7" i="7" s="1"/>
  <c r="G9" i="7" s="1"/>
  <c r="BE3" i="7"/>
  <c r="BD3" i="7"/>
  <c r="AZ9" i="7"/>
  <c r="BB9" i="7" s="1"/>
  <c r="AX9" i="7"/>
  <c r="BF3" i="7"/>
  <c r="AS15" i="7"/>
  <c r="AF15" i="7" s="1"/>
  <c r="T13" i="7" s="1"/>
  <c r="F59" i="1"/>
  <c r="F1051" i="8" s="1"/>
  <c r="K55" i="1"/>
  <c r="K1047" i="8" s="1"/>
  <c r="A1053" i="8"/>
  <c r="B61" i="1"/>
  <c r="D61" i="1"/>
  <c r="I59" i="1"/>
  <c r="I1051" i="8" s="1"/>
  <c r="K1046" i="8"/>
  <c r="J54" i="1"/>
  <c r="J1046" i="8" s="1"/>
  <c r="D1052" i="8"/>
  <c r="E1048" i="8"/>
  <c r="L56" i="1"/>
  <c r="B1052" i="8"/>
  <c r="C60" i="1"/>
  <c r="C1052" i="8" s="1"/>
  <c r="F1050" i="8"/>
  <c r="G58" i="1"/>
  <c r="E57" i="1"/>
  <c r="AC11" i="7"/>
  <c r="Q9" i="7" s="1"/>
  <c r="AA11" i="7"/>
  <c r="O9" i="7" s="1"/>
  <c r="Z11" i="7"/>
  <c r="N9" i="7" s="1"/>
  <c r="AB11" i="7"/>
  <c r="P9" i="7" s="1"/>
  <c r="AT11" i="7"/>
  <c r="Y13" i="7"/>
  <c r="M11" i="7" s="1"/>
  <c r="AD13" i="7"/>
  <c r="R11" i="7" s="1"/>
  <c r="AR17" i="7"/>
  <c r="AQ19" i="7"/>
  <c r="AP19" i="7"/>
  <c r="AM21" i="7"/>
  <c r="AH5" i="7" l="1"/>
  <c r="BH5" i="7"/>
  <c r="AJ5" i="7" s="1"/>
  <c r="A11" i="7"/>
  <c r="E11" i="7"/>
  <c r="C11" i="7"/>
  <c r="D11" i="7"/>
  <c r="H11" i="7"/>
  <c r="B11" i="7"/>
  <c r="F11" i="7"/>
  <c r="AT13" i="7"/>
  <c r="AA13" i="7"/>
  <c r="O11" i="7" s="1"/>
  <c r="AE11" i="7"/>
  <c r="S9" i="7" s="1"/>
  <c r="G11" i="7" s="1"/>
  <c r="AW9" i="7"/>
  <c r="BA9" i="7" s="1"/>
  <c r="BC9" i="7" s="1"/>
  <c r="BH3" i="7"/>
  <c r="AJ3" i="7" s="1"/>
  <c r="X3" i="7" s="1"/>
  <c r="L5" i="7" s="1"/>
  <c r="AH3" i="7"/>
  <c r="V3" i="7" s="1"/>
  <c r="J5" i="7" s="1"/>
  <c r="AG3" i="7"/>
  <c r="U3" i="7" s="1"/>
  <c r="I5" i="7" s="1"/>
  <c r="AI3" i="7"/>
  <c r="W3" i="7" s="1"/>
  <c r="K5" i="7" s="1"/>
  <c r="BG3" i="7"/>
  <c r="AD15" i="7"/>
  <c r="R13" i="7" s="1"/>
  <c r="Y15" i="7"/>
  <c r="M13" i="7" s="1"/>
  <c r="AS17" i="7"/>
  <c r="AF17" i="7" s="1"/>
  <c r="T15" i="7" s="1"/>
  <c r="G59" i="1"/>
  <c r="H59" i="1" s="1"/>
  <c r="J55" i="1"/>
  <c r="J1047" i="8" s="1"/>
  <c r="F60" i="1"/>
  <c r="F1052" i="8" s="1"/>
  <c r="B1053" i="8"/>
  <c r="C61" i="1"/>
  <c r="C1053" i="8" s="1"/>
  <c r="E1049" i="8"/>
  <c r="L57" i="1"/>
  <c r="L1049" i="8" s="1"/>
  <c r="I60" i="1"/>
  <c r="I1052" i="8" s="1"/>
  <c r="D1053" i="8"/>
  <c r="H58" i="1"/>
  <c r="G1050" i="8"/>
  <c r="K56" i="1"/>
  <c r="L1048" i="8"/>
  <c r="AU11" i="7"/>
  <c r="AV11" i="7" s="1"/>
  <c r="AX11" i="7"/>
  <c r="AG7" i="7"/>
  <c r="U5" i="7" s="1"/>
  <c r="I7" i="7" s="1"/>
  <c r="AZ11" i="7"/>
  <c r="BB11" i="7" s="1"/>
  <c r="BE7" i="7"/>
  <c r="BG7" i="7" s="1"/>
  <c r="AW11" i="7"/>
  <c r="BF7" i="7"/>
  <c r="AC13" i="7"/>
  <c r="Q11" i="7" s="1"/>
  <c r="Z13" i="7"/>
  <c r="N11" i="7" s="1"/>
  <c r="AY13" i="7"/>
  <c r="AB13" i="7"/>
  <c r="P11" i="7" s="1"/>
  <c r="AM23" i="7"/>
  <c r="AQ21" i="7"/>
  <c r="AP21" i="7"/>
  <c r="AR19" i="7"/>
  <c r="A13" i="7" l="1"/>
  <c r="E13" i="7"/>
  <c r="C13" i="7"/>
  <c r="D13" i="7"/>
  <c r="H13" i="7"/>
  <c r="B13" i="7"/>
  <c r="F13" i="7"/>
  <c r="AB15" i="7"/>
  <c r="P13" i="7" s="1"/>
  <c r="AY15" i="7"/>
  <c r="AZ13" i="7"/>
  <c r="BB13" i="7" s="1"/>
  <c r="AT15" i="7"/>
  <c r="BD9" i="7"/>
  <c r="AG9" i="7" s="1"/>
  <c r="U7" i="7" s="1"/>
  <c r="I9" i="7" s="1"/>
  <c r="BE9" i="7"/>
  <c r="AH9" i="7" s="1"/>
  <c r="BF9" i="7"/>
  <c r="AI9" i="7" s="1"/>
  <c r="AA15" i="7"/>
  <c r="O13" i="7" s="1"/>
  <c r="Z15" i="7"/>
  <c r="N13" i="7" s="1"/>
  <c r="AC15" i="7"/>
  <c r="Q13" i="7" s="1"/>
  <c r="AS19" i="7"/>
  <c r="Y19" i="7" s="1"/>
  <c r="G1051" i="8"/>
  <c r="I61" i="1"/>
  <c r="I1053" i="8" s="1"/>
  <c r="G60" i="1"/>
  <c r="H60" i="1" s="1"/>
  <c r="H1052" i="8" s="1"/>
  <c r="K57" i="1"/>
  <c r="J57" i="1" s="1"/>
  <c r="J1049" i="8" s="1"/>
  <c r="H1050" i="8"/>
  <c r="E58" i="1"/>
  <c r="H1051" i="8"/>
  <c r="E59" i="1"/>
  <c r="K1048" i="8"/>
  <c r="J56" i="1"/>
  <c r="J1048" i="8" s="1"/>
  <c r="F61" i="1"/>
  <c r="AI7" i="7"/>
  <c r="W5" i="7" s="1"/>
  <c r="K7" i="7" s="1"/>
  <c r="BA11" i="7"/>
  <c r="BC11" i="7" s="1"/>
  <c r="BE11" i="7" s="1"/>
  <c r="BG11" i="7" s="1"/>
  <c r="AH7" i="7"/>
  <c r="V5" i="7" s="1"/>
  <c r="J7" i="7" s="1"/>
  <c r="BH7" i="7"/>
  <c r="AJ7" i="7" s="1"/>
  <c r="X5" i="7" s="1"/>
  <c r="L7" i="7" s="1"/>
  <c r="AU13" i="7"/>
  <c r="AV13" i="7" s="1"/>
  <c r="AE13" i="7"/>
  <c r="S11" i="7" s="1"/>
  <c r="G13" i="7" s="1"/>
  <c r="AX13" i="7"/>
  <c r="AD17" i="7"/>
  <c r="R15" i="7" s="1"/>
  <c r="Y17" i="7"/>
  <c r="M15" i="7" s="1"/>
  <c r="AR21" i="7"/>
  <c r="AQ23" i="7"/>
  <c r="AP23" i="7"/>
  <c r="AM25" i="7"/>
  <c r="M17" i="7" l="1"/>
  <c r="A15" i="7"/>
  <c r="E15" i="7"/>
  <c r="C15" i="7"/>
  <c r="D15" i="7"/>
  <c r="H15" i="7"/>
  <c r="B15" i="7"/>
  <c r="F15" i="7"/>
  <c r="V7" i="7"/>
  <c r="J9" i="7" s="1"/>
  <c r="W7" i="7"/>
  <c r="K9" i="7" s="1"/>
  <c r="AW13" i="7"/>
  <c r="BA13" i="7" s="1"/>
  <c r="BC13" i="7" s="1"/>
  <c r="BF13" i="7" s="1"/>
  <c r="AT17" i="7"/>
  <c r="AE15" i="7"/>
  <c r="S13" i="7" s="1"/>
  <c r="G15" i="7" s="1"/>
  <c r="BG9" i="7"/>
  <c r="BH9" i="7"/>
  <c r="AJ9" i="7" s="1"/>
  <c r="X7" i="7" s="1"/>
  <c r="L9" i="7" s="1"/>
  <c r="AD19" i="7"/>
  <c r="R17" i="7" s="1"/>
  <c r="AF19" i="7"/>
  <c r="T17" i="7" s="1"/>
  <c r="AZ15" i="7"/>
  <c r="BB15" i="7" s="1"/>
  <c r="AU15" i="7"/>
  <c r="AV15" i="7" s="1"/>
  <c r="AX15" i="7"/>
  <c r="AS21" i="7"/>
  <c r="AF21" i="7" s="1"/>
  <c r="T19" i="7" s="1"/>
  <c r="G1052" i="8"/>
  <c r="K1049" i="8"/>
  <c r="E1050" i="8"/>
  <c r="L58" i="1"/>
  <c r="L1050" i="8" s="1"/>
  <c r="F1053" i="8"/>
  <c r="G61" i="1"/>
  <c r="E1051" i="8"/>
  <c r="L59" i="1"/>
  <c r="L1051" i="8" s="1"/>
  <c r="E60" i="1"/>
  <c r="BF11" i="7"/>
  <c r="BD11" i="7"/>
  <c r="AB19" i="7"/>
  <c r="AA19" i="7"/>
  <c r="AC17" i="7"/>
  <c r="Q15" i="7" s="1"/>
  <c r="AA17" i="7"/>
  <c r="O15" i="7" s="1"/>
  <c r="AH11" i="7"/>
  <c r="V9" i="7" s="1"/>
  <c r="J11" i="7" s="1"/>
  <c r="AB17" i="7"/>
  <c r="P15" i="7" s="1"/>
  <c r="AY17" i="7"/>
  <c r="AC19" i="7"/>
  <c r="Z17" i="7"/>
  <c r="N15" i="7" s="1"/>
  <c r="Z19" i="7"/>
  <c r="AR23" i="7"/>
  <c r="AQ25" i="7"/>
  <c r="AP25" i="7"/>
  <c r="AM27" i="7"/>
  <c r="P17" i="7" l="1"/>
  <c r="Q17" i="7"/>
  <c r="H19" i="7" s="1"/>
  <c r="A17" i="7"/>
  <c r="E17" i="7"/>
  <c r="C17" i="7"/>
  <c r="D17" i="7"/>
  <c r="H17" i="7"/>
  <c r="B17" i="7"/>
  <c r="F17" i="7"/>
  <c r="N17" i="7"/>
  <c r="O17" i="7"/>
  <c r="AW15" i="7"/>
  <c r="BA15" i="7" s="1"/>
  <c r="BC15" i="7" s="1"/>
  <c r="AU17" i="7"/>
  <c r="AV17" i="7" s="1"/>
  <c r="AT19" i="7"/>
  <c r="BH11" i="7"/>
  <c r="AJ11" i="7" s="1"/>
  <c r="X9" i="7" s="1"/>
  <c r="L11" i="7" s="1"/>
  <c r="AE19" i="7"/>
  <c r="AW19" i="7" s="1"/>
  <c r="AY19" i="7"/>
  <c r="AG11" i="7"/>
  <c r="U9" i="7" s="1"/>
  <c r="I11" i="7" s="1"/>
  <c r="AS23" i="7"/>
  <c r="AD23" i="7" s="1"/>
  <c r="K58" i="1"/>
  <c r="J58" i="1" s="1"/>
  <c r="J1050" i="8" s="1"/>
  <c r="E1052" i="8"/>
  <c r="L60" i="1"/>
  <c r="L1052" i="8" s="1"/>
  <c r="K59" i="1"/>
  <c r="K1051" i="8" s="1"/>
  <c r="G1053" i="8"/>
  <c r="H61" i="1"/>
  <c r="AI11" i="7"/>
  <c r="W9" i="7" s="1"/>
  <c r="K11" i="7" s="1"/>
  <c r="AI13" i="7"/>
  <c r="AE17" i="7"/>
  <c r="S15" i="7" s="1"/>
  <c r="G17" i="7" s="1"/>
  <c r="AZ17" i="7"/>
  <c r="BB17" i="7" s="1"/>
  <c r="AX17" i="7"/>
  <c r="BD13" i="7"/>
  <c r="AG13" i="7" s="1"/>
  <c r="U11" i="7" s="1"/>
  <c r="I13" i="7" s="1"/>
  <c r="BE13" i="7"/>
  <c r="AH13" i="7" s="1"/>
  <c r="V11" i="7" s="1"/>
  <c r="J13" i="7" s="1"/>
  <c r="BH13" i="7"/>
  <c r="AJ13" i="7" s="1"/>
  <c r="AX19" i="7"/>
  <c r="AU19" i="7"/>
  <c r="AZ19" i="7"/>
  <c r="Y21" i="7"/>
  <c r="M19" i="7" s="1"/>
  <c r="AD21" i="7"/>
  <c r="R19" i="7" s="1"/>
  <c r="AR25" i="7"/>
  <c r="AQ27" i="7"/>
  <c r="AP27" i="7"/>
  <c r="AM29" i="7"/>
  <c r="E19" i="7" l="1"/>
  <c r="C19" i="7"/>
  <c r="D19" i="7"/>
  <c r="B19" i="7"/>
  <c r="F19" i="7"/>
  <c r="A19" i="7"/>
  <c r="R21" i="7"/>
  <c r="W11" i="7"/>
  <c r="K13" i="7" s="1"/>
  <c r="X11" i="7"/>
  <c r="L13" i="7" s="1"/>
  <c r="AV19" i="7"/>
  <c r="S17" i="7"/>
  <c r="G19" i="7" s="1"/>
  <c r="AW17" i="7"/>
  <c r="BA17" i="7" s="1"/>
  <c r="BC17" i="7" s="1"/>
  <c r="BF17" i="7" s="1"/>
  <c r="AT23" i="7"/>
  <c r="BB19" i="7"/>
  <c r="BD15" i="7"/>
  <c r="BE15" i="7"/>
  <c r="AH15" i="7" s="1"/>
  <c r="V13" i="7" s="1"/>
  <c r="J15" i="7" s="1"/>
  <c r="BF15" i="7"/>
  <c r="AI15" i="7" s="1"/>
  <c r="W13" i="7" s="1"/>
  <c r="K15" i="7" s="1"/>
  <c r="Y23" i="7"/>
  <c r="M21" i="7" s="1"/>
  <c r="AF23" i="7"/>
  <c r="T21" i="7" s="1"/>
  <c r="AS25" i="7"/>
  <c r="AD25" i="7" s="1"/>
  <c r="R23" i="7" s="1"/>
  <c r="K1050" i="8"/>
  <c r="K60" i="1"/>
  <c r="K1052" i="8" s="1"/>
  <c r="J59" i="1"/>
  <c r="J1051" i="8" s="1"/>
  <c r="H1053" i="8"/>
  <c r="E61" i="1"/>
  <c r="AC21" i="7"/>
  <c r="Q19" i="7" s="1"/>
  <c r="AA21" i="7"/>
  <c r="O19" i="7" s="1"/>
  <c r="BG13" i="7"/>
  <c r="BA19" i="7"/>
  <c r="AB21" i="7"/>
  <c r="P19" i="7" s="1"/>
  <c r="AY21" i="7"/>
  <c r="AT21" i="7"/>
  <c r="Z21" i="7"/>
  <c r="N19" i="7" s="1"/>
  <c r="AY23" i="7"/>
  <c r="AR27" i="7"/>
  <c r="AP29" i="7"/>
  <c r="AQ29" i="7"/>
  <c r="AM31" i="7"/>
  <c r="BC19" i="7" l="1"/>
  <c r="BE19" i="7" s="1"/>
  <c r="AH19" i="7" s="1"/>
  <c r="A21" i="7"/>
  <c r="E21" i="7"/>
  <c r="C21" i="7"/>
  <c r="D21" i="7"/>
  <c r="H21" i="7"/>
  <c r="F21" i="7"/>
  <c r="B21" i="7"/>
  <c r="AE21" i="7"/>
  <c r="S19" i="7" s="1"/>
  <c r="G21" i="7" s="1"/>
  <c r="AY25" i="7"/>
  <c r="AB23" i="7"/>
  <c r="P21" i="7" s="1"/>
  <c r="Z23" i="7"/>
  <c r="N21" i="7" s="1"/>
  <c r="AG15" i="7"/>
  <c r="U13" i="7" s="1"/>
  <c r="I15" i="7" s="1"/>
  <c r="BG15" i="7"/>
  <c r="BH15" i="7"/>
  <c r="AJ15" i="7" s="1"/>
  <c r="X13" i="7" s="1"/>
  <c r="L15" i="7" s="1"/>
  <c r="AA23" i="7"/>
  <c r="O21" i="7" s="1"/>
  <c r="AC23" i="7"/>
  <c r="Q21" i="7" s="1"/>
  <c r="AS27" i="7"/>
  <c r="AF27" i="7" s="1"/>
  <c r="T25" i="7" s="1"/>
  <c r="AF25" i="7"/>
  <c r="T23" i="7" s="1"/>
  <c r="Y25" i="7"/>
  <c r="M23" i="7" s="1"/>
  <c r="J60" i="1"/>
  <c r="J1052" i="8" s="1"/>
  <c r="E1053" i="8"/>
  <c r="L61" i="1"/>
  <c r="L1053" i="8" s="1"/>
  <c r="AZ21" i="7"/>
  <c r="BB21" i="7" s="1"/>
  <c r="AU21" i="7"/>
  <c r="AV21" i="7" s="1"/>
  <c r="AX21" i="7"/>
  <c r="BD17" i="7"/>
  <c r="AG17" i="7" s="1"/>
  <c r="BE17" i="7"/>
  <c r="BG17" i="7" s="1"/>
  <c r="AI17" i="7"/>
  <c r="W15" i="7" s="1"/>
  <c r="K17" i="7" s="1"/>
  <c r="BH17" i="7"/>
  <c r="AJ17" i="7" s="1"/>
  <c r="AT25" i="7"/>
  <c r="AR29" i="7"/>
  <c r="AM33" i="7"/>
  <c r="AQ31" i="7"/>
  <c r="AP31" i="7"/>
  <c r="AW21" i="7" l="1"/>
  <c r="BA21" i="7" s="1"/>
  <c r="BC21" i="7" s="1"/>
  <c r="BF21" i="7" s="1"/>
  <c r="BG19" i="7"/>
  <c r="BD19" i="7"/>
  <c r="AG19" i="7" s="1"/>
  <c r="U17" i="7" s="1"/>
  <c r="I19" i="7" s="1"/>
  <c r="U15" i="7"/>
  <c r="I17" i="7" s="1"/>
  <c r="BF19" i="7"/>
  <c r="BH19" i="7" s="1"/>
  <c r="AJ19" i="7" s="1"/>
  <c r="X17" i="7" s="1"/>
  <c r="L19" i="7" s="1"/>
  <c r="X15" i="7"/>
  <c r="L17" i="7" s="1"/>
  <c r="A23" i="7"/>
  <c r="E23" i="7"/>
  <c r="C23" i="7"/>
  <c r="D23" i="7"/>
  <c r="H23" i="7"/>
  <c r="B23" i="7"/>
  <c r="F23" i="7"/>
  <c r="AU23" i="7"/>
  <c r="AV23" i="7" s="1"/>
  <c r="AA25" i="7"/>
  <c r="O23" i="7" s="1"/>
  <c r="AZ23" i="7"/>
  <c r="BB23" i="7" s="1"/>
  <c r="AE23" i="7"/>
  <c r="S21" i="7" s="1"/>
  <c r="G23" i="7" s="1"/>
  <c r="AB25" i="7"/>
  <c r="P23" i="7" s="1"/>
  <c r="AX23" i="7"/>
  <c r="Z25" i="7"/>
  <c r="N23" i="7" s="1"/>
  <c r="AC25" i="7"/>
  <c r="Q23" i="7" s="1"/>
  <c r="AS29" i="7"/>
  <c r="AD29" i="7" s="1"/>
  <c r="R27" i="7" s="1"/>
  <c r="K61" i="1"/>
  <c r="K1053" i="8" s="1"/>
  <c r="AH17" i="7"/>
  <c r="V15" i="7" s="1"/>
  <c r="J17" i="7" s="1"/>
  <c r="Y27" i="7"/>
  <c r="M25" i="7" s="1"/>
  <c r="AD27" i="7"/>
  <c r="R25" i="7" s="1"/>
  <c r="AR31" i="7"/>
  <c r="AQ33" i="7"/>
  <c r="AP33" i="7"/>
  <c r="AM35" i="7"/>
  <c r="AI19" i="7" l="1"/>
  <c r="W17" i="7" s="1"/>
  <c r="K19" i="7" s="1"/>
  <c r="A25" i="7"/>
  <c r="E25" i="7"/>
  <c r="C25" i="7"/>
  <c r="F25" i="7"/>
  <c r="D25" i="7"/>
  <c r="H25" i="7"/>
  <c r="B25" i="7"/>
  <c r="V17" i="7"/>
  <c r="J19" i="7" s="1"/>
  <c r="AT29" i="7"/>
  <c r="AT27" i="7"/>
  <c r="AZ25" i="7"/>
  <c r="BB25" i="7" s="1"/>
  <c r="AW23" i="7"/>
  <c r="BA23" i="7" s="1"/>
  <c r="BC23" i="7" s="1"/>
  <c r="AE25" i="7"/>
  <c r="S23" i="7" s="1"/>
  <c r="G25" i="7" s="1"/>
  <c r="AU25" i="7"/>
  <c r="AV25" i="7" s="1"/>
  <c r="AX25" i="7"/>
  <c r="AS31" i="7"/>
  <c r="J61" i="1"/>
  <c r="J1053" i="8" s="1"/>
  <c r="AC27" i="7"/>
  <c r="Q25" i="7" s="1"/>
  <c r="AA27" i="7"/>
  <c r="O25" i="7" s="1"/>
  <c r="BD21" i="7"/>
  <c r="AG21" i="7" s="1"/>
  <c r="U19" i="7" s="1"/>
  <c r="I21" i="7" s="1"/>
  <c r="BE21" i="7"/>
  <c r="AI21" i="7"/>
  <c r="W19" i="7" s="1"/>
  <c r="K21" i="7" s="1"/>
  <c r="BH21" i="7"/>
  <c r="AJ21" i="7" s="1"/>
  <c r="X19" i="7" s="1"/>
  <c r="L21" i="7" s="1"/>
  <c r="AY27" i="7"/>
  <c r="Y29" i="7"/>
  <c r="M27" i="7" s="1"/>
  <c r="AB27" i="7"/>
  <c r="P25" i="7" s="1"/>
  <c r="Z27" i="7"/>
  <c r="N25" i="7" s="1"/>
  <c r="AF29" i="7"/>
  <c r="T27" i="7" s="1"/>
  <c r="AY29" i="7"/>
  <c r="AR33" i="7"/>
  <c r="AQ35" i="7"/>
  <c r="AP35" i="7"/>
  <c r="AM37" i="7"/>
  <c r="A27" i="7" l="1"/>
  <c r="E27" i="7"/>
  <c r="B27" i="7"/>
  <c r="F27" i="7"/>
  <c r="H27" i="7"/>
  <c r="C27" i="7"/>
  <c r="D27" i="7"/>
  <c r="AU27" i="7"/>
  <c r="AV27" i="7" s="1"/>
  <c r="AW25" i="7"/>
  <c r="BA25" i="7" s="1"/>
  <c r="BC25" i="7" s="1"/>
  <c r="BD25" i="7" s="1"/>
  <c r="AG25" i="7" s="1"/>
  <c r="BE23" i="7"/>
  <c r="BD23" i="7"/>
  <c r="AG23" i="7" s="1"/>
  <c r="U21" i="7" s="1"/>
  <c r="I23" i="7" s="1"/>
  <c r="BF23" i="7"/>
  <c r="AI23" i="7" s="1"/>
  <c r="W21" i="7" s="1"/>
  <c r="K23" i="7" s="1"/>
  <c r="AF31" i="7"/>
  <c r="T29" i="7" s="1"/>
  <c r="AS33" i="7"/>
  <c r="AE27" i="7"/>
  <c r="S25" i="7" s="1"/>
  <c r="G27" i="7" s="1"/>
  <c r="AC29" i="7"/>
  <c r="Q27" i="7" s="1"/>
  <c r="AA29" i="7"/>
  <c r="O27" i="7" s="1"/>
  <c r="AZ27" i="7"/>
  <c r="BB27" i="7" s="1"/>
  <c r="AX27" i="7"/>
  <c r="Z29" i="7"/>
  <c r="N27" i="7" s="1"/>
  <c r="AB29" i="7"/>
  <c r="P27" i="7" s="1"/>
  <c r="BG21" i="7"/>
  <c r="AH21" i="7"/>
  <c r="V19" i="7" s="1"/>
  <c r="J21" i="7" s="1"/>
  <c r="Y31" i="7"/>
  <c r="M29" i="7" s="1"/>
  <c r="AD31" i="7"/>
  <c r="R29" i="7" s="1"/>
  <c r="AR35" i="7"/>
  <c r="AM39" i="7"/>
  <c r="AQ37" i="7"/>
  <c r="AP37" i="7"/>
  <c r="A29" i="7" l="1"/>
  <c r="E29" i="7"/>
  <c r="D29" i="7"/>
  <c r="C29" i="7"/>
  <c r="F29" i="7"/>
  <c r="B29" i="7"/>
  <c r="H29" i="7"/>
  <c r="U23" i="7"/>
  <c r="I25" i="7" s="1"/>
  <c r="AT31" i="7"/>
  <c r="AE29" i="7"/>
  <c r="S27" i="7" s="1"/>
  <c r="G29" i="7" s="1"/>
  <c r="AW27" i="7"/>
  <c r="BA27" i="7" s="1"/>
  <c r="BC27" i="7" s="1"/>
  <c r="BF27" i="7" s="1"/>
  <c r="AH23" i="7"/>
  <c r="V21" i="7" s="1"/>
  <c r="J23" i="7" s="1"/>
  <c r="BG23" i="7"/>
  <c r="BH23" i="7"/>
  <c r="AJ23" i="7" s="1"/>
  <c r="X21" i="7" s="1"/>
  <c r="L23" i="7" s="1"/>
  <c r="BE25" i="7"/>
  <c r="AH25" i="7" s="1"/>
  <c r="BF25" i="7"/>
  <c r="AI25" i="7" s="1"/>
  <c r="W23" i="7" s="1"/>
  <c r="K25" i="7" s="1"/>
  <c r="AS35" i="7"/>
  <c r="AD35" i="7" s="1"/>
  <c r="AF33" i="7"/>
  <c r="T31" i="7" s="1"/>
  <c r="AU29" i="7"/>
  <c r="AV29" i="7" s="1"/>
  <c r="AZ29" i="7"/>
  <c r="BB29" i="7" s="1"/>
  <c r="AC31" i="7"/>
  <c r="Q29" i="7" s="1"/>
  <c r="AA31" i="7"/>
  <c r="O29" i="7" s="1"/>
  <c r="AX29" i="7"/>
  <c r="Z31" i="7"/>
  <c r="N29" i="7" s="1"/>
  <c r="AB31" i="7"/>
  <c r="P29" i="7" s="1"/>
  <c r="AY31" i="7"/>
  <c r="Y33" i="7"/>
  <c r="M31" i="7" s="1"/>
  <c r="AD33" i="7"/>
  <c r="R31" i="7" s="1"/>
  <c r="AR37" i="7"/>
  <c r="AQ39" i="7"/>
  <c r="AP39" i="7"/>
  <c r="V23" i="7" l="1"/>
  <c r="J25" i="7" s="1"/>
  <c r="R33" i="7"/>
  <c r="AW29" i="7"/>
  <c r="BA29" i="7" s="1"/>
  <c r="BC29" i="7" s="1"/>
  <c r="BF29" i="7" s="1"/>
  <c r="BH29" i="7" s="1"/>
  <c r="AJ29" i="7" s="1"/>
  <c r="A31" i="7"/>
  <c r="E31" i="7"/>
  <c r="B31" i="7"/>
  <c r="H31" i="7"/>
  <c r="C31" i="7"/>
  <c r="D31" i="7"/>
  <c r="F31" i="7"/>
  <c r="AY35" i="7"/>
  <c r="AE31" i="7"/>
  <c r="S29" i="7" s="1"/>
  <c r="G31" i="7" s="1"/>
  <c r="AT33" i="7"/>
  <c r="BG25" i="7"/>
  <c r="BH25" i="7"/>
  <c r="AJ25" i="7" s="1"/>
  <c r="X23" i="7" s="1"/>
  <c r="L25" i="7" s="1"/>
  <c r="AS37" i="7"/>
  <c r="AF37" i="7" s="1"/>
  <c r="AZ31" i="7"/>
  <c r="BB31" i="7" s="1"/>
  <c r="AX31" i="7"/>
  <c r="AU31" i="7"/>
  <c r="AV31" i="7" s="1"/>
  <c r="Z33" i="7"/>
  <c r="N31" i="7" s="1"/>
  <c r="AA33" i="7"/>
  <c r="O31" i="7" s="1"/>
  <c r="BE27" i="7"/>
  <c r="BG27" i="7" s="1"/>
  <c r="AC33" i="7"/>
  <c r="Q31" i="7" s="1"/>
  <c r="BD27" i="7"/>
  <c r="AG27" i="7" s="1"/>
  <c r="U25" i="7" s="1"/>
  <c r="I27" i="7" s="1"/>
  <c r="BH27" i="7"/>
  <c r="AJ27" i="7" s="1"/>
  <c r="AI27" i="7"/>
  <c r="W25" i="7" s="1"/>
  <c r="K27" i="7" s="1"/>
  <c r="AY33" i="7"/>
  <c r="Y35" i="7"/>
  <c r="M33" i="7" s="1"/>
  <c r="AB33" i="7"/>
  <c r="P31" i="7" s="1"/>
  <c r="AF35" i="7"/>
  <c r="T33" i="7" s="1"/>
  <c r="AT35" i="7"/>
  <c r="AR39" i="7"/>
  <c r="X25" i="7" l="1"/>
  <c r="L27" i="7" s="1"/>
  <c r="X27" i="7"/>
  <c r="L29" i="7" s="1"/>
  <c r="T35" i="7"/>
  <c r="A33" i="7"/>
  <c r="D33" i="7"/>
  <c r="H33" i="7"/>
  <c r="E33" i="7"/>
  <c r="F33" i="7"/>
  <c r="B33" i="7"/>
  <c r="C33" i="7"/>
  <c r="AW31" i="7"/>
  <c r="BA31" i="7" s="1"/>
  <c r="BC31" i="7" s="1"/>
  <c r="BF31" i="7" s="1"/>
  <c r="AI31" i="7" s="1"/>
  <c r="AU33" i="7"/>
  <c r="AV33" i="7" s="1"/>
  <c r="Y37" i="7"/>
  <c r="M35" i="7" s="1"/>
  <c r="AD37" i="7"/>
  <c r="R35" i="7" s="1"/>
  <c r="AS39" i="7"/>
  <c r="AI29" i="7"/>
  <c r="W27" i="7" s="1"/>
  <c r="K29" i="7" s="1"/>
  <c r="BD29" i="7"/>
  <c r="AG29" i="7" s="1"/>
  <c r="U27" i="7" s="1"/>
  <c r="I29" i="7" s="1"/>
  <c r="BE29" i="7"/>
  <c r="BG29" i="7" s="1"/>
  <c r="AB35" i="7"/>
  <c r="P33" i="7" s="1"/>
  <c r="AA35" i="7"/>
  <c r="O33" i="7" s="1"/>
  <c r="AE33" i="7"/>
  <c r="S31" i="7" s="1"/>
  <c r="G33" i="7" s="1"/>
  <c r="AC35" i="7"/>
  <c r="Q33" i="7" s="1"/>
  <c r="AX33" i="7"/>
  <c r="AZ33" i="7"/>
  <c r="BB33" i="7" s="1"/>
  <c r="AH27" i="7"/>
  <c r="V25" i="7" s="1"/>
  <c r="J27" i="7" s="1"/>
  <c r="Z35" i="7"/>
  <c r="N33" i="7" s="1"/>
  <c r="W29" i="7" l="1"/>
  <c r="K31" i="7" s="1"/>
  <c r="D35" i="7"/>
  <c r="H35" i="7"/>
  <c r="B35" i="7"/>
  <c r="C35" i="7"/>
  <c r="E35" i="7"/>
  <c r="A35" i="7"/>
  <c r="F35" i="7"/>
  <c r="AA37" i="7"/>
  <c r="O35" i="7" s="1"/>
  <c r="AU35" i="7"/>
  <c r="AV35" i="7" s="1"/>
  <c r="AW33" i="7"/>
  <c r="BA33" i="7" s="1"/>
  <c r="BC33" i="7" s="1"/>
  <c r="BD33" i="7" s="1"/>
  <c r="AG33" i="7" s="1"/>
  <c r="AT37" i="7"/>
  <c r="AY37" i="7"/>
  <c r="AB37" i="7"/>
  <c r="P35" i="7" s="1"/>
  <c r="AC37" i="7"/>
  <c r="Q35" i="7" s="1"/>
  <c r="Z37" i="7"/>
  <c r="N35" i="7" s="1"/>
  <c r="AD39" i="7"/>
  <c r="AH29" i="7"/>
  <c r="V27" i="7" s="1"/>
  <c r="J29" i="7" s="1"/>
  <c r="BE31" i="7"/>
  <c r="BG31" i="7" s="1"/>
  <c r="AX35" i="7"/>
  <c r="AE35" i="7"/>
  <c r="S33" i="7" s="1"/>
  <c r="G35" i="7" s="1"/>
  <c r="AZ35" i="7"/>
  <c r="BB35" i="7" s="1"/>
  <c r="BD31" i="7"/>
  <c r="AG31" i="7" s="1"/>
  <c r="U29" i="7" s="1"/>
  <c r="I31" i="7" s="1"/>
  <c r="BH31" i="7"/>
  <c r="AJ31" i="7" s="1"/>
  <c r="X29" i="7" s="1"/>
  <c r="L31" i="7" s="1"/>
  <c r="Y39" i="7"/>
  <c r="AF39" i="7"/>
  <c r="D37" i="7" l="1"/>
  <c r="H37" i="7"/>
  <c r="E37" i="7"/>
  <c r="A37" i="7"/>
  <c r="F37" i="7"/>
  <c r="B37" i="7"/>
  <c r="C37" i="7"/>
  <c r="T37" i="7"/>
  <c r="T39" i="7"/>
  <c r="M37" i="7"/>
  <c r="M39" i="7"/>
  <c r="U31" i="7"/>
  <c r="I33" i="7" s="1"/>
  <c r="R37" i="7"/>
  <c r="R39" i="7"/>
  <c r="AW35" i="7"/>
  <c r="BA35" i="7" s="1"/>
  <c r="BC35" i="7" s="1"/>
  <c r="AY39" i="7"/>
  <c r="AZ37" i="7"/>
  <c r="BB37" i="7" s="1"/>
  <c r="AT39" i="7"/>
  <c r="AX37" i="7"/>
  <c r="AU37" i="7"/>
  <c r="AV37" i="7" s="1"/>
  <c r="AE37" i="7"/>
  <c r="S35" i="7" s="1"/>
  <c r="G37" i="7" s="1"/>
  <c r="AH31" i="7"/>
  <c r="V29" i="7" s="1"/>
  <c r="J31" i="7" s="1"/>
  <c r="AC39" i="7"/>
  <c r="AA39" i="7"/>
  <c r="BF33" i="7"/>
  <c r="AI33" i="7" s="1"/>
  <c r="W31" i="7" s="1"/>
  <c r="K33" i="7" s="1"/>
  <c r="BE33" i="7"/>
  <c r="BG33" i="7" s="1"/>
  <c r="Z39" i="7"/>
  <c r="AB39" i="7"/>
  <c r="O37" i="7" l="1"/>
  <c r="O39" i="7"/>
  <c r="N37" i="7"/>
  <c r="N39" i="7"/>
  <c r="Q37" i="7"/>
  <c r="Q39" i="7"/>
  <c r="P37" i="7"/>
  <c r="P39" i="7"/>
  <c r="AU39" i="7"/>
  <c r="AV39" i="7" s="1"/>
  <c r="AW37" i="7"/>
  <c r="BA37" i="7" s="1"/>
  <c r="BC37" i="7" s="1"/>
  <c r="BD37" i="7" s="1"/>
  <c r="AG37" i="7" s="1"/>
  <c r="AX39" i="7"/>
  <c r="AE39" i="7"/>
  <c r="AZ39" i="7"/>
  <c r="BB39" i="7" s="1"/>
  <c r="BE35" i="7"/>
  <c r="BG35" i="7" s="1"/>
  <c r="BF35" i="7"/>
  <c r="BH35" i="7" s="1"/>
  <c r="AJ35" i="7" s="1"/>
  <c r="BD35" i="7"/>
  <c r="AG35" i="7" s="1"/>
  <c r="U33" i="7" s="1"/>
  <c r="I35" i="7" s="1"/>
  <c r="AH33" i="7"/>
  <c r="V31" i="7" s="1"/>
  <c r="J33" i="7" s="1"/>
  <c r="BH33" i="7"/>
  <c r="AJ33" i="7" s="1"/>
  <c r="X31" i="7" s="1"/>
  <c r="L33" i="7" s="1"/>
  <c r="X33" i="7" l="1"/>
  <c r="L35" i="7" s="1"/>
  <c r="D41" i="7"/>
  <c r="H41" i="7"/>
  <c r="E41" i="7"/>
  <c r="B41" i="7"/>
  <c r="C41" i="7"/>
  <c r="F41" i="7"/>
  <c r="A41" i="7"/>
  <c r="D39" i="7"/>
  <c r="H39" i="7"/>
  <c r="B39" i="7"/>
  <c r="C39" i="7"/>
  <c r="E39" i="7"/>
  <c r="A39" i="7"/>
  <c r="F39" i="7"/>
  <c r="U35" i="7"/>
  <c r="I37" i="7" s="1"/>
  <c r="S37" i="7"/>
  <c r="G39" i="7" s="1"/>
  <c r="S39" i="7"/>
  <c r="G41" i="7" s="1"/>
  <c r="AW39" i="7"/>
  <c r="BA39" i="7" s="1"/>
  <c r="BC39" i="7" s="1"/>
  <c r="BF37" i="7"/>
  <c r="AI37" i="7" s="1"/>
  <c r="BE37" i="7"/>
  <c r="BG37" i="7" s="1"/>
  <c r="AI35" i="7"/>
  <c r="W33" i="7" s="1"/>
  <c r="K35" i="7" s="1"/>
  <c r="AH35" i="7"/>
  <c r="V33" i="7" s="1"/>
  <c r="J35" i="7" s="1"/>
  <c r="W35" i="7" l="1"/>
  <c r="K37" i="7" s="1"/>
  <c r="AH37" i="7"/>
  <c r="V35" i="7" s="1"/>
  <c r="J37" i="7" s="1"/>
  <c r="BH37" i="7"/>
  <c r="AJ37" i="7" s="1"/>
  <c r="X35" i="7" s="1"/>
  <c r="L37" i="7" s="1"/>
  <c r="BD39" i="7"/>
  <c r="BA1002" i="7" s="1"/>
  <c r="BE39" i="7"/>
  <c r="BA1003" i="7" s="1"/>
  <c r="BC1003" i="7" s="1"/>
  <c r="B23" i="8" s="1"/>
  <c r="BF39" i="7"/>
  <c r="BA1007" i="7" s="1"/>
  <c r="BA1000" i="7" l="1"/>
  <c r="BC1002" i="7"/>
  <c r="B22" i="8" s="1"/>
  <c r="AH39" i="7"/>
  <c r="BG39" i="7"/>
  <c r="AG39" i="7"/>
  <c r="AI39" i="7"/>
  <c r="J15" i="1"/>
  <c r="J13" i="1"/>
  <c r="BH39" i="7"/>
  <c r="W37" i="7" l="1"/>
  <c r="K39" i="7" s="1"/>
  <c r="W39" i="7"/>
  <c r="K41" i="7" s="1"/>
  <c r="V37" i="7"/>
  <c r="J39" i="7" s="1"/>
  <c r="V39" i="7"/>
  <c r="J41" i="7" s="1"/>
  <c r="U37" i="7"/>
  <c r="I39" i="7" s="1"/>
  <c r="U39" i="7"/>
  <c r="I41" i="7" s="1"/>
  <c r="BB1007" i="7"/>
  <c r="BC1007" i="7" s="1"/>
  <c r="B24" i="8" s="1"/>
  <c r="AJ39" i="7"/>
  <c r="J11" i="1"/>
  <c r="X37" i="7" l="1"/>
  <c r="L39" i="7" s="1"/>
  <c r="X39" i="7"/>
  <c r="L41" i="7" s="1"/>
</calcChain>
</file>

<file path=xl/sharedStrings.xml><?xml version="1.0" encoding="utf-8"?>
<sst xmlns="http://schemas.openxmlformats.org/spreadsheetml/2006/main" count="365" uniqueCount="227">
  <si>
    <t>年</t>
    <phoneticPr fontId="1" type="noConversion"/>
  </si>
  <si>
    <t>月</t>
    <phoneticPr fontId="1" type="noConversion"/>
  </si>
  <si>
    <t>日</t>
    <phoneticPr fontId="1" type="noConversion"/>
  </si>
  <si>
    <t>舊制年資</t>
    <phoneticPr fontId="1" type="noConversion"/>
  </si>
  <si>
    <t>年齡</t>
    <phoneticPr fontId="1" type="noConversion"/>
  </si>
  <si>
    <t>申請
退休
時之</t>
    <phoneticPr fontId="1" type="noConversion"/>
  </si>
  <si>
    <t>年度</t>
    <phoneticPr fontId="1" type="noConversion"/>
  </si>
  <si>
    <t>年資</t>
    <phoneticPr fontId="1" type="noConversion"/>
  </si>
  <si>
    <t>新制年資</t>
    <phoneticPr fontId="1" type="noConversion"/>
  </si>
  <si>
    <t>合計年資</t>
    <phoneticPr fontId="1" type="noConversion"/>
  </si>
  <si>
    <t>年齡+年資</t>
    <phoneticPr fontId="1" type="noConversion"/>
  </si>
  <si>
    <t>指標數</t>
    <phoneticPr fontId="1" type="noConversion"/>
  </si>
  <si>
    <t>退休
年度</t>
    <phoneticPr fontId="1" type="noConversion"/>
  </si>
  <si>
    <t>法定年齡</t>
    <phoneticPr fontId="1" type="noConversion"/>
  </si>
  <si>
    <t>申請退休日期</t>
    <phoneticPr fontId="1" type="noConversion"/>
  </si>
  <si>
    <t>出生日期</t>
    <phoneticPr fontId="1" type="noConversion"/>
  </si>
  <si>
    <t>退休身分</t>
    <phoneticPr fontId="1" type="noConversion"/>
  </si>
  <si>
    <t>退休條件
(下列條件需符合一項)</t>
    <phoneticPr fontId="1" type="noConversion"/>
  </si>
  <si>
    <t>領取全額月退條件
(下列條件需符合一項)</t>
    <phoneticPr fontId="1" type="noConversion"/>
  </si>
  <si>
    <t>107/7/1是否已成就退休條件</t>
    <phoneticPr fontId="1" type="noConversion"/>
  </si>
  <si>
    <t>否</t>
  </si>
  <si>
    <t>請輸入退休前N年薪點</t>
    <phoneticPr fontId="1" type="noConversion"/>
  </si>
  <si>
    <t>時間</t>
    <phoneticPr fontId="1" type="noConversion"/>
  </si>
  <si>
    <t>薪點</t>
    <phoneticPr fontId="1" type="noConversion"/>
  </si>
  <si>
    <t>本俸</t>
    <phoneticPr fontId="1" type="noConversion"/>
  </si>
  <si>
    <t>(退休當年)</t>
    <phoneticPr fontId="1" type="noConversion"/>
  </si>
  <si>
    <t>94年1月</t>
    <phoneticPr fontId="1" type="noConversion"/>
  </si>
  <si>
    <t>100年7月</t>
    <phoneticPr fontId="1" type="noConversion"/>
  </si>
  <si>
    <t>(退休前1年)</t>
    <phoneticPr fontId="1" type="noConversion"/>
  </si>
  <si>
    <t>(退休前2年)</t>
    <phoneticPr fontId="1" type="noConversion"/>
  </si>
  <si>
    <t>(退休前3年)</t>
    <phoneticPr fontId="1" type="noConversion"/>
  </si>
  <si>
    <t>(退休前4年)</t>
    <phoneticPr fontId="1" type="noConversion"/>
  </si>
  <si>
    <t>(退休前5年)</t>
    <phoneticPr fontId="1" type="noConversion"/>
  </si>
  <si>
    <t>(退休前6年)</t>
    <phoneticPr fontId="1" type="noConversion"/>
  </si>
  <si>
    <t>(退休前7年)</t>
    <phoneticPr fontId="1" type="noConversion"/>
  </si>
  <si>
    <t>(退休前8年)</t>
    <phoneticPr fontId="1" type="noConversion"/>
  </si>
  <si>
    <t>(退休前9年)</t>
    <phoneticPr fontId="1" type="noConversion"/>
  </si>
  <si>
    <t>(退休前10年)</t>
    <phoneticPr fontId="1" type="noConversion"/>
  </si>
  <si>
    <t>(退休前11年)</t>
    <phoneticPr fontId="1" type="noConversion"/>
  </si>
  <si>
    <t>(退休前12年)</t>
    <phoneticPr fontId="1" type="noConversion"/>
  </si>
  <si>
    <t>(退休前13年)</t>
    <phoneticPr fontId="1" type="noConversion"/>
  </si>
  <si>
    <t>(退休前14年)</t>
    <phoneticPr fontId="1" type="noConversion"/>
  </si>
  <si>
    <t>平均薪資</t>
    <phoneticPr fontId="1" type="noConversion"/>
  </si>
  <si>
    <t>Salary_Point</t>
    <phoneticPr fontId="1" type="noConversion"/>
  </si>
  <si>
    <t>Index</t>
    <phoneticPr fontId="1" type="noConversion"/>
  </si>
  <si>
    <t>Legal_Year</t>
    <phoneticPr fontId="1" type="noConversion"/>
  </si>
  <si>
    <t>教授</t>
  </si>
  <si>
    <t>職稱</t>
  </si>
  <si>
    <t>月支數額</t>
  </si>
  <si>
    <t>學術研究加給</t>
  </si>
  <si>
    <t>教師(學士)</t>
  </si>
  <si>
    <t>教師(碩士)</t>
  </si>
  <si>
    <t>教師(博士)</t>
  </si>
  <si>
    <t>助理教授</t>
  </si>
  <si>
    <t>副教授</t>
  </si>
  <si>
    <t>薪點</t>
    <phoneticPr fontId="1" type="noConversion"/>
  </si>
  <si>
    <t>Highest_Point</t>
    <phoneticPr fontId="1" type="noConversion"/>
  </si>
  <si>
    <t>優存月數</t>
    <phoneticPr fontId="1" type="noConversion"/>
  </si>
  <si>
    <t>不能辦優惠存款可自由運用之公保養老給付金額：</t>
    <phoneticPr fontId="1" type="noConversion"/>
  </si>
  <si>
    <t>優存利息</t>
    <phoneticPr fontId="1" type="noConversion"/>
  </si>
  <si>
    <t>公保養老給付月數</t>
    <phoneticPr fontId="1" type="noConversion"/>
  </si>
  <si>
    <t>可辦理優惠存款之本金</t>
    <phoneticPr fontId="1" type="noConversion"/>
  </si>
  <si>
    <t>公保養老給付金額</t>
    <phoneticPr fontId="1" type="noConversion"/>
  </si>
  <si>
    <t>基本年齡</t>
    <phoneticPr fontId="1" type="noConversion"/>
  </si>
  <si>
    <t>退休前N年</t>
    <phoneticPr fontId="1" type="noConversion"/>
  </si>
  <si>
    <t>高級中
等以下</t>
    <phoneticPr fontId="1" type="noConversion"/>
  </si>
  <si>
    <t>其餘教
育人員</t>
    <phoneticPr fontId="1" type="noConversion"/>
  </si>
  <si>
    <t>年資</t>
    <phoneticPr fontId="1" type="noConversion"/>
  </si>
  <si>
    <t>樓地板1</t>
  </si>
  <si>
    <t>樓地板2</t>
  </si>
  <si>
    <t>替代率上限金額</t>
    <phoneticPr fontId="1" type="noConversion"/>
  </si>
  <si>
    <t>年度</t>
    <phoneticPr fontId="1" type="noConversion"/>
  </si>
  <si>
    <t>Replacement_Rate</t>
    <phoneticPr fontId="1" type="noConversion"/>
  </si>
  <si>
    <t>年齡(年月)</t>
    <phoneticPr fontId="1" type="noConversion"/>
  </si>
  <si>
    <t>領取全額
月退休金</t>
    <phoneticPr fontId="1" type="noConversion"/>
  </si>
  <si>
    <t>優存利息</t>
    <phoneticPr fontId="1" type="noConversion"/>
  </si>
  <si>
    <t>年</t>
  </si>
  <si>
    <t>利率</t>
  </si>
  <si>
    <t>退休職級</t>
    <phoneticPr fontId="1" type="noConversion"/>
  </si>
  <si>
    <t>補償金請領方式</t>
    <phoneticPr fontId="1" type="noConversion"/>
  </si>
  <si>
    <t>月補償金</t>
  </si>
  <si>
    <t>是</t>
  </si>
  <si>
    <t>公保最後在職月份薪點</t>
    <phoneticPr fontId="1" type="noConversion"/>
  </si>
  <si>
    <t>職員</t>
    <phoneticPr fontId="1" type="noConversion"/>
  </si>
  <si>
    <t>年</t>
    <phoneticPr fontId="1" type="noConversion"/>
  </si>
  <si>
    <t>月退休所得</t>
    <phoneticPr fontId="1" type="noConversion"/>
  </si>
  <si>
    <t>月補償金</t>
    <phoneticPr fontId="1" type="noConversion"/>
  </si>
  <si>
    <t>月退休金</t>
    <phoneticPr fontId="1" type="noConversion"/>
  </si>
  <si>
    <t>　月補償金</t>
    <phoneticPr fontId="1" type="noConversion"/>
  </si>
  <si>
    <t>　優存利息</t>
    <phoneticPr fontId="1" type="noConversion"/>
  </si>
  <si>
    <t>「卡替代率」後之</t>
    <phoneticPr fontId="1" type="noConversion"/>
  </si>
  <si>
    <t>扣減「優存利率」後之優存利息</t>
    <phoneticPr fontId="1" type="noConversion"/>
  </si>
  <si>
    <t>實際領取(考慮樓地板)之</t>
    <phoneticPr fontId="1" type="noConversion"/>
  </si>
  <si>
    <t>當年所得替代率上限</t>
    <phoneticPr fontId="1" type="noConversion"/>
  </si>
  <si>
    <t>原月退休所得</t>
    <phoneticPr fontId="1" type="noConversion"/>
  </si>
  <si>
    <t>舊制月退休金</t>
    <phoneticPr fontId="1" type="noConversion"/>
  </si>
  <si>
    <t>新制月退休金</t>
    <phoneticPr fontId="1" type="noConversion"/>
  </si>
  <si>
    <t>一次請領</t>
    <phoneticPr fontId="1" type="noConversion"/>
  </si>
  <si>
    <t>資料錯誤</t>
    <phoneticPr fontId="1" type="noConversion"/>
  </si>
  <si>
    <t>未符合退休條件</t>
    <phoneticPr fontId="1" type="noConversion"/>
  </si>
  <si>
    <t>Case</t>
    <phoneticPr fontId="1" type="noConversion"/>
  </si>
  <si>
    <t>是否辦理
展期或減額</t>
    <phoneticPr fontId="1" type="noConversion"/>
  </si>
  <si>
    <t>減額領取</t>
    <phoneticPr fontId="1" type="noConversion"/>
  </si>
  <si>
    <r>
      <t>符合退休條件,不符合全額月退條件,且年齡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法定年齡-5</t>
    </r>
    <phoneticPr fontId="1" type="noConversion"/>
  </si>
  <si>
    <t>月退休金合計</t>
    <phoneticPr fontId="1" type="noConversion"/>
  </si>
  <si>
    <r>
      <t>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25</t>
    </r>
    <phoneticPr fontId="1" type="noConversion"/>
  </si>
  <si>
    <r>
      <t>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60
且年資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5</t>
    </r>
    <phoneticPr fontId="1" type="noConversion"/>
  </si>
  <si>
    <r>
      <t>需同時符合</t>
    </r>
    <r>
      <rPr>
        <b/>
        <sz val="11"/>
        <color theme="1"/>
        <rFont val="微軟正黑體"/>
        <family val="2"/>
        <charset val="136"/>
      </rPr>
      <t>退休條件、領取月退條件</t>
    </r>
    <phoneticPr fontId="1" type="noConversion"/>
  </si>
  <si>
    <t>請領結果</t>
    <phoneticPr fontId="1" type="noConversion"/>
  </si>
  <si>
    <t>領取全額月退休所得</t>
    <phoneticPr fontId="1" type="noConversion"/>
  </si>
  <si>
    <t>展期領取</t>
    <phoneticPr fontId="1" type="noConversion"/>
  </si>
  <si>
    <t>樓地板</t>
    <phoneticPr fontId="1" type="noConversion"/>
  </si>
  <si>
    <t>一次補償金</t>
    <phoneticPr fontId="1" type="noConversion"/>
  </si>
  <si>
    <r>
      <t>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法定年齡且年資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15</t>
    </r>
    <phoneticPr fontId="1" type="noConversion"/>
  </si>
  <si>
    <r>
      <t xml:space="preserve">年齡+年資
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指標數且年齡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基本年齡且年資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15</t>
    </r>
    <phoneticPr fontId="1" type="noConversion"/>
  </si>
  <si>
    <t>退休時間</t>
    <phoneticPr fontId="1" type="noConversion"/>
  </si>
  <si>
    <t>退休本俸</t>
    <phoneticPr fontId="1" type="noConversion"/>
  </si>
  <si>
    <t>均俸</t>
    <phoneticPr fontId="1" type="noConversion"/>
  </si>
  <si>
    <t>118年後之替代率</t>
    <phoneticPr fontId="1" type="noConversion"/>
  </si>
  <si>
    <t>請領結果</t>
    <phoneticPr fontId="1" type="noConversion"/>
  </si>
  <si>
    <t>最早可減額領取月退年度</t>
    <phoneticPr fontId="1" type="noConversion"/>
  </si>
  <si>
    <t>最早可展期領取月退年度</t>
    <phoneticPr fontId="1" type="noConversion"/>
  </si>
  <si>
    <t>全額領取</t>
    <phoneticPr fontId="1" type="noConversion"/>
  </si>
  <si>
    <t>年度</t>
    <phoneticPr fontId="1" type="noConversion"/>
  </si>
  <si>
    <t>退休領取全額月退</t>
    <phoneticPr fontId="1" type="noConversion"/>
  </si>
  <si>
    <t>退休減額領取月退</t>
    <phoneticPr fontId="1" type="noConversion"/>
  </si>
  <si>
    <t>退休展期領取月退</t>
    <phoneticPr fontId="1" type="noConversion"/>
  </si>
  <si>
    <t>初任日期</t>
    <phoneticPr fontId="1" type="noConversion"/>
  </si>
  <si>
    <t>第1次中斷之起訖日</t>
    <phoneticPr fontId="1" type="noConversion"/>
  </si>
  <si>
    <t>第2次中斷之起訖日</t>
    <phoneticPr fontId="1" type="noConversion"/>
  </si>
  <si>
    <t>第3次中斷之起訖日</t>
    <phoneticPr fontId="1" type="noConversion"/>
  </si>
  <si>
    <t>第4次中斷之起訖日</t>
    <phoneticPr fontId="1" type="noConversion"/>
  </si>
  <si>
    <t>第5次中斷之起訖日</t>
    <phoneticPr fontId="1" type="noConversion"/>
  </si>
  <si>
    <t>第6次中斷之起訖日</t>
    <phoneticPr fontId="1" type="noConversion"/>
  </si>
  <si>
    <t>第7次中斷之起訖日</t>
    <phoneticPr fontId="1" type="noConversion"/>
  </si>
  <si>
    <t>Month_Days</t>
    <phoneticPr fontId="1" type="noConversion"/>
  </si>
  <si>
    <t>過渡期間指標數</t>
    <phoneticPr fontId="1" type="noConversion"/>
  </si>
  <si>
    <t>日期</t>
    <phoneticPr fontId="1" type="noConversion"/>
  </si>
  <si>
    <t>編號</t>
    <phoneticPr fontId="1" type="noConversion"/>
  </si>
  <si>
    <t>各段公保區間</t>
    <phoneticPr fontId="1" type="noConversion"/>
  </si>
  <si>
    <t>起日</t>
    <phoneticPr fontId="1" type="noConversion"/>
  </si>
  <si>
    <t>訖日</t>
    <phoneticPr fontId="1" type="noConversion"/>
  </si>
  <si>
    <t>換算舊制年資</t>
    <phoneticPr fontId="1" type="noConversion"/>
  </si>
  <si>
    <t>換算新制年資</t>
    <phoneticPr fontId="1" type="noConversion"/>
  </si>
  <si>
    <t>訖日</t>
    <phoneticPr fontId="1" type="noConversion"/>
  </si>
  <si>
    <t>曾任可併計年資之起訖日</t>
    <phoneticPr fontId="1" type="noConversion"/>
  </si>
  <si>
    <t>出生日期、中斷起訖日及可併計之年資</t>
    <phoneticPr fontId="1" type="noConversion"/>
  </si>
  <si>
    <t>合計</t>
    <phoneticPr fontId="1" type="noConversion"/>
  </si>
  <si>
    <t>該月
天數</t>
    <phoneticPr fontId="1" type="noConversion"/>
  </si>
  <si>
    <t>畸零
天數</t>
    <phoneticPr fontId="1" type="noConversion"/>
  </si>
  <si>
    <t>總計年資/不算末段</t>
    <phoneticPr fontId="1" type="noConversion"/>
  </si>
  <si>
    <t>日</t>
    <phoneticPr fontId="1" type="noConversion"/>
  </si>
  <si>
    <t>至少完整年月</t>
    <phoneticPr fontId="1" type="noConversion"/>
  </si>
  <si>
    <t>計算最後在職日</t>
    <phoneticPr fontId="1" type="noConversion"/>
  </si>
  <si>
    <t>年月日</t>
    <phoneticPr fontId="1" type="noConversion"/>
  </si>
  <si>
    <t>驗算</t>
    <phoneticPr fontId="1" type="noConversion"/>
  </si>
  <si>
    <t>末段到職日前已有年資</t>
    <phoneticPr fontId="1" type="noConversion"/>
  </si>
  <si>
    <t>末段到職日</t>
    <phoneticPr fontId="1" type="noConversion"/>
  </si>
  <si>
    <t>法定
年齡</t>
    <phoneticPr fontId="1" type="noConversion"/>
  </si>
  <si>
    <t>基本
年齡</t>
    <phoneticPr fontId="1" type="noConversion"/>
  </si>
  <si>
    <t>個人
年齡</t>
    <phoneticPr fontId="1" type="noConversion"/>
  </si>
  <si>
    <t>畸零天數</t>
    <phoneticPr fontId="1" type="noConversion"/>
  </si>
  <si>
    <t>月退
條件</t>
    <phoneticPr fontId="1" type="noConversion"/>
  </si>
  <si>
    <t>退休
條件</t>
    <phoneticPr fontId="1" type="noConversion"/>
  </si>
  <si>
    <t>月退
條件1</t>
    <phoneticPr fontId="1" type="noConversion"/>
  </si>
  <si>
    <t>月退
條件2</t>
    <phoneticPr fontId="1" type="noConversion"/>
  </si>
  <si>
    <t>法定
指標</t>
    <phoneticPr fontId="1" type="noConversion"/>
  </si>
  <si>
    <t>年齡</t>
    <phoneticPr fontId="1" type="noConversion"/>
  </si>
  <si>
    <r>
      <t>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25</t>
    </r>
    <phoneticPr fontId="1" type="noConversion"/>
  </si>
  <si>
    <r>
      <t>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60
且年資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5</t>
    </r>
    <phoneticPr fontId="1" type="noConversion"/>
  </si>
  <si>
    <r>
      <t>指標</t>
    </r>
    <r>
      <rPr>
        <sz val="11"/>
        <color rgb="FFA87C00"/>
        <rFont val="Arial Unicode MS"/>
        <family val="2"/>
        <charset val="136"/>
      </rPr>
      <t>≥</t>
    </r>
    <r>
      <rPr>
        <sz val="11"/>
        <color rgb="FFA87C00"/>
        <rFont val="微軟正黑體"/>
        <family val="2"/>
        <charset val="136"/>
      </rPr>
      <t>法定指標</t>
    </r>
    <phoneticPr fontId="1" type="noConversion"/>
  </si>
  <si>
    <r>
      <t>年齡</t>
    </r>
    <r>
      <rPr>
        <sz val="11"/>
        <color rgb="FFA87C00"/>
        <rFont val="Arial Unicode MS"/>
        <family val="2"/>
        <charset val="136"/>
      </rPr>
      <t>≥</t>
    </r>
    <r>
      <rPr>
        <sz val="11"/>
        <color rgb="FFA87C00"/>
        <rFont val="微軟正黑體"/>
        <family val="2"/>
        <charset val="136"/>
      </rPr>
      <t>基本年齡</t>
    </r>
    <phoneticPr fontId="1" type="noConversion"/>
  </si>
  <si>
    <r>
      <t>年資</t>
    </r>
    <r>
      <rPr>
        <sz val="12"/>
        <color rgb="FFA87C00"/>
        <rFont val="Arial Unicode MS"/>
        <family val="2"/>
        <charset val="136"/>
      </rPr>
      <t>≥</t>
    </r>
    <r>
      <rPr>
        <sz val="12"/>
        <color rgb="FFA87C00"/>
        <rFont val="微軟正黑體"/>
        <family val="2"/>
        <charset val="136"/>
      </rPr>
      <t>15</t>
    </r>
    <phoneticPr fontId="1" type="noConversion"/>
  </si>
  <si>
    <r>
      <t>年齡</t>
    </r>
    <r>
      <rPr>
        <sz val="11"/>
        <color theme="1"/>
        <rFont val="Arial Unicode MS"/>
        <family val="2"/>
        <charset val="136"/>
      </rPr>
      <t>≥</t>
    </r>
    <r>
      <rPr>
        <sz val="11"/>
        <color theme="1"/>
        <rFont val="微軟正黑體"/>
        <family val="2"/>
        <charset val="136"/>
      </rPr>
      <t>法定年齡</t>
    </r>
    <phoneticPr fontId="1" type="noConversion"/>
  </si>
  <si>
    <t>當月
天數</t>
    <phoneticPr fontId="1" type="noConversion"/>
  </si>
  <si>
    <t>最早可退休領月退之日期</t>
    <phoneticPr fontId="1" type="noConversion"/>
  </si>
  <si>
    <t>年資滿年尚需年資</t>
    <phoneticPr fontId="1" type="noConversion"/>
  </si>
  <si>
    <t>減額百分比</t>
    <phoneticPr fontId="1" type="noConversion"/>
  </si>
  <si>
    <t>最早可領取全額月退</t>
    <phoneticPr fontId="1" type="noConversion"/>
  </si>
  <si>
    <r>
      <t>最早可領取</t>
    </r>
    <r>
      <rPr>
        <sz val="12"/>
        <color rgb="FFC00000"/>
        <rFont val="微軟正黑體"/>
        <family val="2"/>
        <charset val="136"/>
      </rPr>
      <t>全額</t>
    </r>
    <r>
      <rPr>
        <sz val="12"/>
        <color theme="1"/>
        <rFont val="微軟正黑體"/>
        <family val="2"/>
        <charset val="136"/>
      </rPr>
      <t>月退</t>
    </r>
    <phoneticPr fontId="1" type="noConversion"/>
  </si>
  <si>
    <r>
      <t>最早可</t>
    </r>
    <r>
      <rPr>
        <sz val="12"/>
        <color rgb="FFC00000"/>
        <rFont val="微軟正黑體"/>
        <family val="2"/>
        <charset val="136"/>
      </rPr>
      <t>減額</t>
    </r>
    <r>
      <rPr>
        <sz val="12"/>
        <color theme="1"/>
        <rFont val="微軟正黑體"/>
        <family val="2"/>
        <charset val="136"/>
      </rPr>
      <t>領取月退</t>
    </r>
    <phoneticPr fontId="1" type="noConversion"/>
  </si>
  <si>
    <r>
      <t>最早可</t>
    </r>
    <r>
      <rPr>
        <sz val="12"/>
        <color rgb="FFC00000"/>
        <rFont val="微軟正黑體"/>
        <family val="2"/>
        <charset val="136"/>
      </rPr>
      <t>展期</t>
    </r>
    <r>
      <rPr>
        <sz val="12"/>
        <color theme="1"/>
        <rFont val="微軟正黑體"/>
        <family val="2"/>
        <charset val="136"/>
      </rPr>
      <t>領取月退</t>
    </r>
    <phoneticPr fontId="1" type="noConversion"/>
  </si>
  <si>
    <t>能否
展期</t>
    <phoneticPr fontId="1" type="noConversion"/>
  </si>
  <si>
    <t>展期
日期</t>
    <phoneticPr fontId="1" type="noConversion"/>
  </si>
  <si>
    <t>退休身分</t>
  </si>
  <si>
    <t>退休職級</t>
  </si>
  <si>
    <t>107年起</t>
    <phoneticPr fontId="1" type="noConversion"/>
  </si>
  <si>
    <t>西元日期</t>
    <phoneticPr fontId="1" type="noConversion"/>
  </si>
  <si>
    <t>民國日期</t>
    <phoneticPr fontId="1" type="noConversion"/>
  </si>
  <si>
    <t>起始日</t>
    <phoneticPr fontId="1" type="noConversion"/>
  </si>
  <si>
    <t>結束日</t>
    <phoneticPr fontId="1" type="noConversion"/>
  </si>
  <si>
    <t>第1段可併計年資</t>
    <phoneticPr fontId="1" type="noConversion"/>
  </si>
  <si>
    <t>第2段可併計年資</t>
  </si>
  <si>
    <t>第3段可併計年資</t>
  </si>
  <si>
    <t>是否辦理
優存</t>
    <phoneticPr fontId="1" type="noConversion"/>
  </si>
  <si>
    <t>是否辦理優存</t>
    <phoneticPr fontId="1" type="noConversion"/>
  </si>
  <si>
    <t>年資增減情形</t>
    <phoneticPr fontId="1" type="noConversion"/>
  </si>
  <si>
    <t>月退休金合計</t>
  </si>
  <si>
    <t>　月補償金</t>
  </si>
  <si>
    <t>　優存利息</t>
  </si>
  <si>
    <t>樓地板</t>
  </si>
  <si>
    <t>最早可退休日期</t>
    <phoneticPr fontId="1" type="noConversion"/>
  </si>
  <si>
    <t>假設繼續以薪點650繼續工作,計算於不同年度退休時之月退休所得</t>
    <phoneticPr fontId="1" type="noConversion"/>
  </si>
  <si>
    <t>展期</t>
  </si>
  <si>
    <t>減額領取月退休金</t>
    <phoneticPr fontId="1" type="noConversion"/>
  </si>
  <si>
    <t>展期日期</t>
    <phoneticPr fontId="1" type="noConversion"/>
  </si>
  <si>
    <t>現職教育人員起支年齡試算系統</t>
    <phoneticPr fontId="1" type="noConversion"/>
  </si>
  <si>
    <t>講師</t>
    <phoneticPr fontId="1" type="noConversion"/>
  </si>
  <si>
    <t>舊制助教</t>
    <phoneticPr fontId="1" type="noConversion"/>
  </si>
  <si>
    <t>退休職(等)級</t>
    <phoneticPr fontId="1" type="noConversion"/>
  </si>
  <si>
    <t>第1次中斷年資</t>
    <phoneticPr fontId="1" type="noConversion"/>
  </si>
  <si>
    <t>第2次中斷年資</t>
    <phoneticPr fontId="1" type="noConversion"/>
  </si>
  <si>
    <t>第3次中斷年資</t>
    <phoneticPr fontId="1" type="noConversion"/>
  </si>
  <si>
    <t>第4次中斷年資</t>
    <phoneticPr fontId="1" type="noConversion"/>
  </si>
  <si>
    <t>第5次中斷年資</t>
    <phoneticPr fontId="1" type="noConversion"/>
  </si>
  <si>
    <t>第6次中斷年資</t>
    <phoneticPr fontId="1" type="noConversion"/>
  </si>
  <si>
    <t>第7次中斷年資</t>
    <phoneticPr fontId="1" type="noConversion"/>
  </si>
  <si>
    <r>
      <t>領取</t>
    </r>
    <r>
      <rPr>
        <sz val="12"/>
        <color rgb="FFC00000"/>
        <rFont val="微軟正黑體"/>
        <family val="2"/>
        <charset val="136"/>
      </rPr>
      <t>全額</t>
    </r>
    <r>
      <rPr>
        <sz val="12"/>
        <color theme="1"/>
        <rFont val="微軟正黑體"/>
        <family val="2"/>
        <charset val="136"/>
      </rPr>
      <t>月退休金</t>
    </r>
    <phoneticPr fontId="1" type="noConversion"/>
  </si>
  <si>
    <r>
      <rPr>
        <sz val="12"/>
        <color rgb="FFC00000"/>
        <rFont val="微軟正黑體"/>
        <family val="2"/>
        <charset val="136"/>
      </rPr>
      <t>減額</t>
    </r>
    <r>
      <rPr>
        <sz val="12"/>
        <color theme="1"/>
        <rFont val="微軟正黑體"/>
        <family val="2"/>
        <charset val="136"/>
      </rPr>
      <t>領取月退休金</t>
    </r>
    <phoneticPr fontId="1" type="noConversion"/>
  </si>
  <si>
    <r>
      <rPr>
        <sz val="12"/>
        <color rgb="FFC00000"/>
        <rFont val="微軟正黑體"/>
        <family val="2"/>
        <charset val="136"/>
      </rPr>
      <t>展期</t>
    </r>
    <r>
      <rPr>
        <sz val="12"/>
        <color theme="1"/>
        <rFont val="微軟正黑體"/>
        <family val="2"/>
        <charset val="136"/>
      </rPr>
      <t>領取月退休金</t>
    </r>
    <phoneticPr fontId="1" type="noConversion"/>
  </si>
  <si>
    <r>
      <t>說明：
一、請依照退休身分、退休職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等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級、個人出生日期及初任日期，填入相關資料。
二、於初任日期後，如有留職停薪等中斷年資之情事，請於中斷年資處填寫未任職期間之起始日及結束
　　日。
三、於初任日期前，如曾有義務役等可併計為退休年資之服務年資，請於可併計年資處填寫任職期間之
　　起始日及結束日。
四、退休職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等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級如為教師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含助理教授、副教授、助理教授、講師及舊制助教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，本試算系統預設退休日
　　期以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日或</t>
    </r>
    <r>
      <rPr>
        <sz val="12"/>
        <color theme="1"/>
        <rFont val="Times New Roman"/>
        <family val="1"/>
      </rPr>
      <t>8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日為準；如有符合法定之特殊原因，且經主管機關同意後，得以其他日期申請退
　　休。
五、各年度可退休日期，詳細計算可參考「試算各年度退休條件」之頁籤。
六、本試算系統係依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29</t>
    </r>
    <r>
      <rPr>
        <sz val="12"/>
        <color theme="1"/>
        <rFont val="標楷體"/>
        <family val="4"/>
        <charset val="136"/>
      </rPr>
      <t>日立法院三讀通過之公立學校教職員退休資遣撫卹條例設計，</t>
    </r>
    <r>
      <rPr>
        <sz val="14"/>
        <color rgb="FFFF0000"/>
        <rFont val="標楷體"/>
        <family val="4"/>
        <charset val="136"/>
      </rPr>
      <t>試算結
　 果僅係服務性質並供參考</t>
    </r>
    <r>
      <rPr>
        <sz val="12"/>
        <color theme="1"/>
        <rFont val="標楷體"/>
        <family val="4"/>
        <charset val="136"/>
      </rPr>
      <t>，實際仍應以主管機關依最後確定方案審定結果為準。</t>
    </r>
    <phoneticPr fontId="1" type="noConversion"/>
  </si>
  <si>
    <t>試算各年退休條件</t>
    <phoneticPr fontId="1" type="noConversion"/>
  </si>
  <si>
    <t>領取全額月退休金</t>
    <phoneticPr fontId="1" type="noConversion"/>
  </si>
  <si>
    <t>展期領取月退休金</t>
    <phoneticPr fontId="1" type="noConversion"/>
  </si>
  <si>
    <t>申請展期月退休金</t>
    <phoneticPr fontId="1" type="noConversion"/>
  </si>
  <si>
    <t>展期領取月退休金日期</t>
    <phoneticPr fontId="1" type="noConversion"/>
  </si>
  <si>
    <t>中等以下教師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</si>
</sst>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%"/>
    <numFmt numFmtId="178" formatCode="0.0"/>
    <numFmt numFmtId="179" formatCode="0&quot;年&quot;"/>
    <numFmt numFmtId="180" formatCode="0&quot;歲&quot;"/>
  </numFmts>
  <fonts count="3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theme="5" tint="-0.249977111117893"/>
      <name val="微軟正黑體"/>
      <family val="2"/>
      <charset val="136"/>
    </font>
    <font>
      <sz val="11"/>
      <color theme="1"/>
      <name val="Arial Unicode MS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0"/>
      <name val="新細明體"/>
      <family val="2"/>
      <charset val="136"/>
      <scheme val="minor"/>
    </font>
    <font>
      <sz val="12"/>
      <color theme="1" tint="0.34998626667073579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2" tint="-0.499984740745262"/>
      <name val="微軟正黑體"/>
      <family val="2"/>
      <charset val="136"/>
    </font>
    <font>
      <sz val="12"/>
      <color theme="2" tint="-0.499984740745262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2" tint="-0.499984740745262"/>
      <name val="微軟正黑體"/>
      <family val="2"/>
      <charset val="136"/>
    </font>
    <font>
      <sz val="12"/>
      <color rgb="FFA87C00"/>
      <name val="微軟正黑體"/>
      <family val="2"/>
      <charset val="136"/>
    </font>
    <font>
      <sz val="11"/>
      <color rgb="FFA87C00"/>
      <name val="微軟正黑體"/>
      <family val="2"/>
      <charset val="136"/>
    </font>
    <font>
      <sz val="11"/>
      <color rgb="FFA87C00"/>
      <name val="Arial Unicode MS"/>
      <family val="2"/>
      <charset val="136"/>
    </font>
    <font>
      <sz val="12"/>
      <color rgb="FFA87C00"/>
      <name val="Arial Unicode MS"/>
      <family val="2"/>
      <charset val="136"/>
    </font>
    <font>
      <sz val="12"/>
      <color rgb="FFC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theme="2" tint="-0.49998474074526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rgb="FFFF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4" fontId="7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176" fontId="3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3" fontId="3" fillId="0" borderId="16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177" fontId="3" fillId="4" borderId="21" xfId="1" applyNumberFormat="1" applyFont="1" applyFill="1" applyBorder="1" applyAlignment="1">
      <alignment horizontal="center" vertical="center"/>
    </xf>
    <xf numFmtId="177" fontId="3" fillId="5" borderId="21" xfId="1" applyNumberFormat="1" applyFont="1" applyFill="1" applyBorder="1" applyAlignment="1">
      <alignment horizontal="center" vertical="center"/>
    </xf>
    <xf numFmtId="177" fontId="3" fillId="6" borderId="21" xfId="1" applyNumberFormat="1" applyFont="1" applyFill="1" applyBorder="1" applyAlignment="1">
      <alignment horizontal="center" vertical="center"/>
    </xf>
    <xf numFmtId="177" fontId="3" fillId="4" borderId="2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 wrapText="1"/>
    </xf>
    <xf numFmtId="10" fontId="3" fillId="0" borderId="1" xfId="1" applyNumberFormat="1" applyFont="1" applyBorder="1">
      <alignment vertical="center"/>
    </xf>
    <xf numFmtId="0" fontId="3" fillId="4" borderId="22" xfId="0" applyFont="1" applyFill="1" applyBorder="1" applyAlignment="1">
      <alignment vertical="center"/>
    </xf>
    <xf numFmtId="177" fontId="3" fillId="4" borderId="23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>
      <alignment vertical="center"/>
    </xf>
    <xf numFmtId="3" fontId="0" fillId="0" borderId="0" xfId="0" applyNumberFormat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9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9" fillId="0" borderId="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7" xfId="0" applyFont="1" applyBorder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28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9" fillId="0" borderId="28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76" fontId="9" fillId="0" borderId="17" xfId="0" applyNumberFormat="1" applyFont="1" applyBorder="1" applyAlignment="1">
      <alignment vertical="center" wrapText="1"/>
    </xf>
    <xf numFmtId="14" fontId="9" fillId="0" borderId="24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9" fillId="3" borderId="0" xfId="0" applyNumberFormat="1" applyFont="1" applyFill="1" applyBorder="1" applyAlignment="1">
      <alignment horizontal="right" vertical="center" wrapText="1"/>
    </xf>
    <xf numFmtId="3" fontId="3" fillId="0" borderId="18" xfId="0" applyNumberFormat="1" applyFont="1" applyBorder="1">
      <alignment vertical="center"/>
    </xf>
    <xf numFmtId="3" fontId="3" fillId="3" borderId="18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14" fontId="9" fillId="0" borderId="6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78" fontId="3" fillId="0" borderId="1" xfId="0" applyNumberFormat="1" applyFont="1" applyBorder="1">
      <alignment vertical="center"/>
    </xf>
    <xf numFmtId="176" fontId="9" fillId="0" borderId="1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80" fontId="3" fillId="0" borderId="9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2" fontId="3" fillId="0" borderId="9" xfId="0" applyNumberFormat="1" applyFont="1" applyBorder="1" applyAlignment="1">
      <alignment horizontal="right" vertical="center" wrapText="1"/>
    </xf>
    <xf numFmtId="10" fontId="3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3" fontId="3" fillId="7" borderId="9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179" fontId="3" fillId="0" borderId="9" xfId="0" applyNumberFormat="1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right" vertical="center" wrapText="1"/>
    </xf>
    <xf numFmtId="0" fontId="18" fillId="0" borderId="0" xfId="0" applyNumberFormat="1" applyFont="1" applyAlignment="1">
      <alignment horizontal="center" vertical="center"/>
    </xf>
    <xf numFmtId="14" fontId="17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14" fontId="19" fillId="0" borderId="2" xfId="0" applyNumberFormat="1" applyFont="1" applyFill="1" applyBorder="1">
      <alignment vertical="center"/>
    </xf>
    <xf numFmtId="0" fontId="19" fillId="0" borderId="2" xfId="0" applyFont="1" applyFill="1" applyBorder="1">
      <alignment vertical="center"/>
    </xf>
    <xf numFmtId="14" fontId="19" fillId="0" borderId="1" xfId="0" applyNumberFormat="1" applyFont="1" applyFill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Fill="1" applyBorder="1">
      <alignment vertical="center"/>
    </xf>
    <xf numFmtId="14" fontId="20" fillId="0" borderId="2" xfId="0" applyNumberFormat="1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2" borderId="8" xfId="0" applyFont="1" applyFill="1" applyBorder="1">
      <alignment vertical="center"/>
    </xf>
    <xf numFmtId="0" fontId="3" fillId="0" borderId="4" xfId="0" applyFont="1" applyFill="1" applyBorder="1">
      <alignment vertical="center"/>
    </xf>
    <xf numFmtId="14" fontId="19" fillId="0" borderId="4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Fill="1" applyBorder="1">
      <alignment vertical="center"/>
    </xf>
    <xf numFmtId="14" fontId="19" fillId="0" borderId="8" xfId="0" applyNumberFormat="1" applyFont="1" applyFill="1" applyBorder="1">
      <alignment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vertical="center"/>
    </xf>
    <xf numFmtId="0" fontId="3" fillId="2" borderId="31" xfId="0" applyFont="1" applyFill="1" applyBorder="1">
      <alignment vertical="center"/>
    </xf>
    <xf numFmtId="0" fontId="3" fillId="0" borderId="32" xfId="0" applyFont="1" applyFill="1" applyBorder="1">
      <alignment vertical="center"/>
    </xf>
    <xf numFmtId="14" fontId="19" fillId="0" borderId="32" xfId="0" applyNumberFormat="1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1" xfId="0" applyFont="1" applyFill="1" applyBorder="1">
      <alignment vertical="center"/>
    </xf>
    <xf numFmtId="14" fontId="19" fillId="0" borderId="31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vertical="center"/>
    </xf>
    <xf numFmtId="0" fontId="18" fillId="0" borderId="24" xfId="0" applyFont="1" applyFill="1" applyBorder="1">
      <alignment vertical="center"/>
    </xf>
    <xf numFmtId="0" fontId="3" fillId="0" borderId="35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18" fillId="0" borderId="1" xfId="0" applyNumberFormat="1" applyFont="1" applyBorder="1">
      <alignment vertical="center"/>
    </xf>
    <xf numFmtId="0" fontId="3" fillId="0" borderId="25" xfId="0" applyFont="1" applyFill="1" applyBorder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16" xfId="0" applyFont="1" applyFill="1" applyBorder="1">
      <alignment vertical="center"/>
    </xf>
    <xf numFmtId="0" fontId="9" fillId="0" borderId="3" xfId="0" applyFont="1" applyBorder="1">
      <alignment vertical="center"/>
    </xf>
    <xf numFmtId="3" fontId="3" fillId="0" borderId="1" xfId="0" applyNumberFormat="1" applyFont="1" applyBorder="1">
      <alignment vertical="center"/>
    </xf>
    <xf numFmtId="14" fontId="27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8" fillId="0" borderId="0" xfId="0" applyFo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indent="2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34" xfId="0" applyFont="1" applyFill="1" applyBorder="1" applyProtection="1">
      <alignment vertical="center"/>
      <protection locked="0"/>
    </xf>
    <xf numFmtId="0" fontId="7" fillId="0" borderId="0" xfId="0" applyFont="1" applyFill="1" applyBorder="1">
      <alignment vertical="center"/>
    </xf>
    <xf numFmtId="0" fontId="0" fillId="0" borderId="0" xfId="0" applyProtection="1">
      <alignment vertical="center"/>
    </xf>
    <xf numFmtId="0" fontId="3" fillId="13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3" fillId="11" borderId="2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1" fillId="14" borderId="1" xfId="0" applyFont="1" applyFill="1" applyBorder="1" applyAlignment="1" applyProtection="1">
      <alignment horizontal="center" vertical="center" wrapText="1"/>
    </xf>
    <xf numFmtId="0" fontId="9" fillId="14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3" fillId="14" borderId="1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3" fillId="0" borderId="17" xfId="0" applyNumberFormat="1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9" fillId="0" borderId="17" xfId="0" applyNumberFormat="1" applyFont="1" applyBorder="1" applyAlignment="1" applyProtection="1">
      <alignment horizontal="right" vertical="center"/>
    </xf>
    <xf numFmtId="14" fontId="3" fillId="0" borderId="17" xfId="0" applyNumberFormat="1" applyFont="1" applyBorder="1" applyAlignment="1" applyProtection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5" fillId="0" borderId="17" xfId="0" applyFont="1" applyBorder="1" applyProtection="1">
      <alignment vertical="center"/>
    </xf>
    <xf numFmtId="14" fontId="9" fillId="0" borderId="17" xfId="0" applyNumberFormat="1" applyFont="1" applyBorder="1" applyAlignment="1" applyProtection="1">
      <alignment horizontal="center" vertical="center"/>
    </xf>
    <xf numFmtId="14" fontId="9" fillId="0" borderId="5" xfId="0" applyNumberFormat="1" applyFont="1" applyBorder="1" applyAlignment="1" applyProtection="1">
      <alignment horizontal="center" vertical="center"/>
    </xf>
    <xf numFmtId="14" fontId="3" fillId="0" borderId="17" xfId="0" applyNumberFormat="1" applyFont="1" applyBorder="1" applyProtection="1">
      <alignment vertical="center"/>
    </xf>
    <xf numFmtId="0" fontId="19" fillId="0" borderId="17" xfId="0" applyFont="1" applyBorder="1" applyProtection="1">
      <alignment vertical="center"/>
    </xf>
    <xf numFmtId="14" fontId="26" fillId="0" borderId="17" xfId="0" applyNumberFormat="1" applyFont="1" applyBorder="1" applyAlignment="1" applyProtection="1">
      <alignment horizontal="right" vertical="center"/>
    </xf>
    <xf numFmtId="177" fontId="9" fillId="0" borderId="17" xfId="0" applyNumberFormat="1" applyFont="1" applyBorder="1" applyAlignment="1" applyProtection="1">
      <alignment horizontal="right" vertical="center"/>
    </xf>
    <xf numFmtId="14" fontId="9" fillId="0" borderId="17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9" fillId="0" borderId="0" xfId="0" applyNumberFormat="1" applyFont="1" applyBorder="1" applyAlignment="1" applyProtection="1">
      <alignment horizontal="right" vertical="center"/>
    </xf>
    <xf numFmtId="14" fontId="3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4" fontId="9" fillId="0" borderId="0" xfId="0" applyNumberFormat="1" applyFont="1" applyBorder="1" applyAlignment="1" applyProtection="1">
      <alignment horizontal="center" vertical="center"/>
    </xf>
    <xf numFmtId="14" fontId="9" fillId="0" borderId="18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14" fontId="26" fillId="0" borderId="0" xfId="0" applyNumberFormat="1" applyFont="1" applyBorder="1" applyAlignment="1" applyProtection="1">
      <alignment horizontal="right" vertical="center"/>
    </xf>
    <xf numFmtId="177" fontId="9" fillId="0" borderId="0" xfId="0" applyNumberFormat="1" applyFont="1" applyBorder="1" applyAlignment="1" applyProtection="1">
      <alignment horizontal="right" vertical="center"/>
    </xf>
    <xf numFmtId="14" fontId="9" fillId="0" borderId="0" xfId="0" applyNumberFormat="1" applyFont="1" applyBorder="1" applyAlignment="1" applyProtection="1">
      <alignment horizontal="right" vertical="center"/>
    </xf>
    <xf numFmtId="0" fontId="3" fillId="0" borderId="16" xfId="0" applyFont="1" applyBorder="1" applyProtection="1">
      <alignment vertical="center"/>
    </xf>
    <xf numFmtId="14" fontId="9" fillId="0" borderId="16" xfId="0" applyNumberFormat="1" applyFont="1" applyBorder="1" applyAlignment="1" applyProtection="1">
      <alignment horizontal="right" vertical="center"/>
    </xf>
    <xf numFmtId="14" fontId="3" fillId="0" borderId="16" xfId="0" applyNumberFormat="1" applyFont="1" applyBorder="1" applyAlignment="1" applyProtection="1">
      <alignment horizontal="center" vertical="center"/>
    </xf>
    <xf numFmtId="177" fontId="3" fillId="0" borderId="16" xfId="0" applyNumberFormat="1" applyFont="1" applyBorder="1" applyAlignment="1" applyProtection="1">
      <alignment horizontal="center" vertical="center"/>
    </xf>
    <xf numFmtId="0" fontId="9" fillId="0" borderId="16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14" fontId="9" fillId="0" borderId="16" xfId="0" applyNumberFormat="1" applyFont="1" applyBorder="1" applyAlignment="1" applyProtection="1">
      <alignment horizontal="center" vertical="center"/>
    </xf>
    <xf numFmtId="14" fontId="9" fillId="0" borderId="7" xfId="0" applyNumberFormat="1" applyFont="1" applyBorder="1" applyAlignment="1" applyProtection="1">
      <alignment horizontal="center" vertical="center"/>
    </xf>
    <xf numFmtId="14" fontId="3" fillId="0" borderId="16" xfId="0" applyNumberFormat="1" applyFont="1" applyBorder="1" applyProtection="1">
      <alignment vertical="center"/>
    </xf>
    <xf numFmtId="0" fontId="19" fillId="0" borderId="16" xfId="0" applyFont="1" applyBorder="1" applyProtection="1">
      <alignment vertical="center"/>
    </xf>
    <xf numFmtId="14" fontId="26" fillId="0" borderId="16" xfId="0" applyNumberFormat="1" applyFont="1" applyBorder="1" applyAlignment="1" applyProtection="1">
      <alignment horizontal="right" vertical="center"/>
    </xf>
    <xf numFmtId="177" fontId="9" fillId="0" borderId="16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14" fontId="0" fillId="0" borderId="0" xfId="0" applyNumberFormat="1" applyProtection="1">
      <alignment vertical="center"/>
    </xf>
    <xf numFmtId="14" fontId="3" fillId="0" borderId="3" xfId="0" applyNumberFormat="1" applyFont="1" applyFill="1" applyBorder="1" applyAlignment="1" applyProtection="1">
      <alignment vertical="center" wrapText="1"/>
    </xf>
    <xf numFmtId="0" fontId="3" fillId="0" borderId="3" xfId="0" applyFont="1" applyFill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14" fontId="3" fillId="0" borderId="2" xfId="0" applyNumberFormat="1" applyFont="1" applyFill="1" applyBorder="1" applyAlignment="1" applyProtection="1">
      <alignment vertical="center" wrapText="1"/>
    </xf>
    <xf numFmtId="14" fontId="3" fillId="0" borderId="3" xfId="0" applyNumberFormat="1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14" fontId="3" fillId="0" borderId="2" xfId="0" applyNumberFormat="1" applyFont="1" applyFill="1" applyBorder="1" applyAlignment="1" applyProtection="1">
      <alignment vertical="center"/>
    </xf>
    <xf numFmtId="14" fontId="9" fillId="0" borderId="1" xfId="0" applyNumberFormat="1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14" fontId="18" fillId="0" borderId="0" xfId="0" applyNumberFormat="1" applyFont="1" applyProtection="1">
      <alignment vertical="center"/>
    </xf>
    <xf numFmtId="0" fontId="0" fillId="0" borderId="1" xfId="0" applyBorder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14" fontId="3" fillId="9" borderId="1" xfId="0" applyNumberFormat="1" applyFont="1" applyFill="1" applyBorder="1" applyProtection="1">
      <alignment vertical="center"/>
    </xf>
    <xf numFmtId="14" fontId="3" fillId="0" borderId="0" xfId="0" applyNumberFormat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9" borderId="3" xfId="0" applyFont="1" applyFill="1" applyBorder="1" applyProtection="1">
      <alignment vertical="center"/>
    </xf>
    <xf numFmtId="0" fontId="3" fillId="9" borderId="1" xfId="0" applyFont="1" applyFill="1" applyBorder="1" applyProtection="1">
      <alignment vertical="center"/>
    </xf>
    <xf numFmtId="0" fontId="3" fillId="10" borderId="1" xfId="0" applyFont="1" applyFill="1" applyBorder="1" applyProtection="1">
      <alignment vertical="center"/>
    </xf>
    <xf numFmtId="14" fontId="3" fillId="0" borderId="1" xfId="0" applyNumberFormat="1" applyFont="1" applyBorder="1" applyProtection="1">
      <alignment vertical="center"/>
    </xf>
    <xf numFmtId="0" fontId="3" fillId="10" borderId="3" xfId="0" applyFont="1" applyFill="1" applyBorder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14" fontId="9" fillId="0" borderId="0" xfId="0" applyNumberFormat="1" applyFont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13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>
      <alignment vertical="center"/>
    </xf>
    <xf numFmtId="14" fontId="3" fillId="0" borderId="9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4" fontId="3" fillId="0" borderId="9" xfId="0" applyNumberFormat="1" applyFont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9" fillId="0" borderId="1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5" fillId="0" borderId="24" xfId="0" applyNumberFormat="1" applyFont="1" applyBorder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4" fontId="3" fillId="0" borderId="8" xfId="0" applyNumberFormat="1" applyFont="1" applyBorder="1" applyAlignment="1" applyProtection="1">
      <alignment horizontal="center" vertical="center" wrapText="1"/>
    </xf>
    <xf numFmtId="14" fontId="3" fillId="0" borderId="10" xfId="0" applyNumberFormat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13" borderId="2" xfId="0" applyFont="1" applyFill="1" applyBorder="1" applyAlignment="1" applyProtection="1">
      <alignment horizontal="center" vertical="center" wrapText="1"/>
    </xf>
    <xf numFmtId="0" fontId="3" fillId="13" borderId="25" xfId="0" applyFont="1" applyFill="1" applyBorder="1" applyAlignment="1" applyProtection="1">
      <alignment horizontal="center" vertical="center"/>
    </xf>
    <xf numFmtId="0" fontId="3" fillId="13" borderId="3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25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14" fontId="3" fillId="0" borderId="8" xfId="0" applyNumberFormat="1" applyFont="1" applyBorder="1" applyAlignment="1" applyProtection="1">
      <alignment horizontal="center" vertical="center"/>
    </xf>
    <xf numFmtId="14" fontId="3" fillId="0" borderId="10" xfId="0" applyNumberFormat="1" applyFont="1" applyBorder="1" applyAlignment="1" applyProtection="1">
      <alignment horizontal="center" vertical="center"/>
    </xf>
    <xf numFmtId="14" fontId="3" fillId="0" borderId="4" xfId="0" applyNumberFormat="1" applyFont="1" applyBorder="1" applyAlignment="1" applyProtection="1">
      <alignment horizontal="center" vertical="center" wrapText="1"/>
    </xf>
    <xf numFmtId="14" fontId="3" fillId="0" borderId="24" xfId="0" applyNumberFormat="1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59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rgb="FFC00000"/>
      </font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CCCC"/>
      <color rgb="FFA8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1019</xdr:row>
          <xdr:rowOff>114300</xdr:rowOff>
        </xdr:from>
        <xdr:to>
          <xdr:col>8</xdr:col>
          <xdr:colOff>590550</xdr:colOff>
          <xdr:row>1025</xdr:row>
          <xdr:rowOff>38100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TW" altLang="en-US" sz="1200" b="0" i="0" u="none" strike="noStrike" baseline="0">
                  <a:solidFill>
                    <a:srgbClr val="000000"/>
                  </a:solidFill>
                  <a:latin typeface="微軟正黑體"/>
                  <a:ea typeface="微軟正黑體"/>
                </a:rPr>
                <a:t>比較延後N年退休之領取金額(假設以同薪點繼續工作)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1019</xdr:row>
          <xdr:rowOff>104775</xdr:rowOff>
        </xdr:from>
        <xdr:to>
          <xdr:col>10</xdr:col>
          <xdr:colOff>609600</xdr:colOff>
          <xdr:row>1025</xdr:row>
          <xdr:rowOff>47625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TW" altLang="en-US" sz="1200" b="0" i="0" u="none" strike="noStrike" baseline="0">
                  <a:solidFill>
                    <a:srgbClr val="000000"/>
                  </a:solidFill>
                  <a:latin typeface="微軟正黑體"/>
                  <a:ea typeface="微軟正黑體"/>
                </a:rPr>
                <a:t>比較延後N年退休之領取金額(假設逐年提升至最高薪點)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0</xdr:row>
          <xdr:rowOff>114300</xdr:rowOff>
        </xdr:from>
        <xdr:to>
          <xdr:col>15</xdr:col>
          <xdr:colOff>142875</xdr:colOff>
          <xdr:row>2</xdr:row>
          <xdr:rowOff>114300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TW" altLang="en-US" sz="1200" b="0" i="0" u="none" strike="noStrike" baseline="0">
                  <a:solidFill>
                    <a:srgbClr val="000000"/>
                  </a:solidFill>
                  <a:latin typeface="微軟正黑體"/>
                  <a:ea typeface="微軟正黑體"/>
                </a:rPr>
                <a:t>比較延後N年退休之領取金額(假設以同薪點繼續工作)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4</xdr:row>
          <xdr:rowOff>47625</xdr:rowOff>
        </xdr:from>
        <xdr:to>
          <xdr:col>15</xdr:col>
          <xdr:colOff>133350</xdr:colOff>
          <xdr:row>9</xdr:row>
          <xdr:rowOff>142875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TW" altLang="en-US" sz="1200" b="0" i="0" u="none" strike="noStrike" baseline="0">
                  <a:solidFill>
                    <a:srgbClr val="000000"/>
                  </a:solidFill>
                  <a:latin typeface="微軟正黑體"/>
                  <a:ea typeface="微軟正黑體"/>
                </a:rPr>
                <a:t>比較延後N年退休之領取金額(假設逐年提升至最高薪點)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2">
    <tabColor rgb="FFFFCCCC"/>
  </sheetPr>
  <dimension ref="A1:EA1110"/>
  <sheetViews>
    <sheetView tabSelected="1" zoomScale="115" zoomScaleNormal="115" workbookViewId="0">
      <selection activeCell="B2" sqref="B2"/>
    </sheetView>
  </sheetViews>
  <sheetFormatPr defaultRowHeight="16.5" x14ac:dyDescent="0.25"/>
  <cols>
    <col min="1" max="1" width="18.625" customWidth="1"/>
    <col min="2" max="7" width="12.375" customWidth="1"/>
    <col min="8" max="12" width="9.75" customWidth="1"/>
    <col min="131" max="131" width="9" customWidth="1"/>
  </cols>
  <sheetData>
    <row r="1" spans="1:131" ht="32.25" customHeight="1" x14ac:dyDescent="0.25">
      <c r="A1" s="282" t="s">
        <v>206</v>
      </c>
      <c r="B1" s="282"/>
      <c r="C1" s="282"/>
      <c r="D1" s="179"/>
      <c r="E1" s="2"/>
      <c r="F1" s="2"/>
      <c r="G1" s="2"/>
      <c r="I1" s="2"/>
      <c r="J1" s="2"/>
      <c r="K1" s="2"/>
      <c r="L1" s="2"/>
      <c r="M1" s="2"/>
      <c r="N1" s="2"/>
      <c r="O1" s="2"/>
      <c r="P1" s="2"/>
      <c r="Q1" s="2"/>
      <c r="EA1" s="2"/>
    </row>
    <row r="2" spans="1:131" ht="24" customHeight="1" x14ac:dyDescent="0.25">
      <c r="A2" s="3" t="s">
        <v>184</v>
      </c>
      <c r="B2" s="181" t="s">
        <v>226</v>
      </c>
      <c r="C2" s="150" t="s">
        <v>209</v>
      </c>
      <c r="D2" s="182" t="s">
        <v>54</v>
      </c>
      <c r="E2" s="2"/>
      <c r="F2" s="2"/>
      <c r="G2" s="2"/>
      <c r="I2" s="2"/>
      <c r="J2" s="2"/>
      <c r="K2" s="2"/>
      <c r="L2" s="2"/>
      <c r="M2" s="2"/>
      <c r="N2" s="2"/>
      <c r="O2" s="2"/>
      <c r="P2" s="2"/>
      <c r="Q2" s="2"/>
      <c r="EA2" s="2"/>
    </row>
    <row r="3" spans="1:131" ht="4.5" customHeight="1" x14ac:dyDescent="0.25">
      <c r="A3" s="166"/>
      <c r="B3" s="167"/>
      <c r="C3" s="57"/>
      <c r="D3" s="168"/>
      <c r="E3" s="2"/>
      <c r="F3" s="2"/>
      <c r="G3" s="2"/>
      <c r="I3" s="2"/>
      <c r="J3" s="2"/>
      <c r="K3" s="2"/>
      <c r="L3" s="2"/>
      <c r="M3" s="2"/>
      <c r="N3" s="2"/>
      <c r="O3" s="2"/>
      <c r="P3" s="2"/>
      <c r="Q3" s="2"/>
      <c r="EA3" s="2"/>
    </row>
    <row r="4" spans="1:131" x14ac:dyDescent="0.25">
      <c r="A4" s="3"/>
      <c r="B4" s="148" t="s">
        <v>0</v>
      </c>
      <c r="C4" s="148" t="s">
        <v>1</v>
      </c>
      <c r="D4" s="148" t="s">
        <v>2</v>
      </c>
      <c r="E4" s="2"/>
      <c r="F4" s="2"/>
      <c r="G4" s="2"/>
      <c r="I4" s="2"/>
      <c r="J4" s="2"/>
      <c r="K4" s="2"/>
      <c r="L4" s="2"/>
      <c r="M4" s="2"/>
      <c r="N4" s="2"/>
      <c r="O4" s="2"/>
      <c r="P4" s="2"/>
      <c r="Q4" s="2"/>
      <c r="EA4" s="2"/>
    </row>
    <row r="5" spans="1:131" x14ac:dyDescent="0.25">
      <c r="A5" s="53" t="s">
        <v>15</v>
      </c>
      <c r="B5" s="183"/>
      <c r="C5" s="183"/>
      <c r="D5" s="183"/>
      <c r="E5" s="2"/>
      <c r="F5" s="2"/>
      <c r="G5" s="146"/>
      <c r="I5" s="2"/>
      <c r="J5" s="2"/>
      <c r="K5" s="2"/>
      <c r="L5" s="2"/>
      <c r="M5" s="2"/>
      <c r="N5" s="2"/>
      <c r="O5" s="2"/>
      <c r="P5" s="2"/>
      <c r="Q5" s="2"/>
      <c r="EA5" s="163" t="str">
        <f>IF(C5="","",VLOOKUP(C5,Month_Days,2,0)+IF(AND(C5=2,MOD(B5,4)=1),1,0))</f>
        <v/>
      </c>
    </row>
    <row r="6" spans="1:131" x14ac:dyDescent="0.25">
      <c r="A6" s="53" t="s">
        <v>127</v>
      </c>
      <c r="B6" s="183"/>
      <c r="C6" s="183"/>
      <c r="D6" s="183"/>
      <c r="E6" s="2"/>
      <c r="F6" s="2"/>
      <c r="G6" s="146"/>
      <c r="I6" s="2"/>
      <c r="J6" s="2"/>
      <c r="K6" s="2"/>
      <c r="L6" s="2"/>
      <c r="M6" s="2"/>
      <c r="N6" s="2"/>
      <c r="O6" s="2"/>
      <c r="P6" s="2"/>
      <c r="Q6" s="2"/>
      <c r="EA6" s="163" t="str">
        <f>IF(C6="","",VLOOKUP(C6,Month_Days,2,0)+IF(AND(C6=2,MOD(B6,4)=1),1,0))</f>
        <v/>
      </c>
    </row>
    <row r="7" spans="1:131" ht="4.5" customHeight="1" x14ac:dyDescent="0.25">
      <c r="A7" s="169"/>
      <c r="B7" s="57"/>
      <c r="C7" s="57"/>
      <c r="D7" s="57"/>
      <c r="E7" s="170"/>
      <c r="F7" s="170"/>
      <c r="G7" s="170"/>
      <c r="I7" s="2"/>
      <c r="J7" s="2"/>
      <c r="K7" s="2"/>
      <c r="L7" s="2"/>
      <c r="M7" s="2"/>
      <c r="N7" s="2"/>
      <c r="O7" s="2"/>
      <c r="P7" s="2"/>
      <c r="Q7" s="2"/>
      <c r="EA7" s="163"/>
    </row>
    <row r="8" spans="1:131" x14ac:dyDescent="0.25">
      <c r="A8" s="290" t="s">
        <v>196</v>
      </c>
      <c r="B8" s="292" t="s">
        <v>189</v>
      </c>
      <c r="C8" s="293"/>
      <c r="D8" s="294"/>
      <c r="E8" s="292" t="s">
        <v>190</v>
      </c>
      <c r="F8" s="293"/>
      <c r="G8" s="294"/>
      <c r="I8" s="2"/>
      <c r="J8" s="2"/>
      <c r="K8" s="2"/>
      <c r="L8" s="2"/>
      <c r="M8" s="2"/>
      <c r="N8" s="2"/>
      <c r="O8" s="2"/>
      <c r="P8" s="2"/>
      <c r="Q8" s="2"/>
      <c r="EA8" s="158"/>
    </row>
    <row r="9" spans="1:131" x14ac:dyDescent="0.25">
      <c r="A9" s="291"/>
      <c r="B9" s="148" t="s">
        <v>0</v>
      </c>
      <c r="C9" s="148" t="s">
        <v>1</v>
      </c>
      <c r="D9" s="148" t="s">
        <v>2</v>
      </c>
      <c r="E9" s="148" t="s">
        <v>0</v>
      </c>
      <c r="F9" s="148" t="s">
        <v>1</v>
      </c>
      <c r="G9" s="148" t="s">
        <v>2</v>
      </c>
      <c r="I9" s="2"/>
      <c r="J9" s="2"/>
      <c r="K9" s="2"/>
      <c r="L9" s="2"/>
      <c r="M9" s="2"/>
      <c r="N9" s="2"/>
      <c r="O9" s="2"/>
      <c r="P9" s="2"/>
      <c r="Q9" s="2"/>
      <c r="EA9" s="158"/>
    </row>
    <row r="10" spans="1:131" x14ac:dyDescent="0.25">
      <c r="A10" s="109" t="s">
        <v>210</v>
      </c>
      <c r="B10" s="184"/>
      <c r="C10" s="184"/>
      <c r="D10" s="184"/>
      <c r="E10" s="184"/>
      <c r="F10" s="184"/>
      <c r="G10" s="184"/>
      <c r="I10" s="187" t="str">
        <f t="shared" ref="I10:I19" si="0">IF(F10="","",VLOOKUP(F10,Month_Days,2,0)+IF(AND(F10=2,MOD(E10,4)=1),1,0))</f>
        <v/>
      </c>
      <c r="J10" s="2"/>
      <c r="K10" s="2"/>
      <c r="L10" s="2"/>
      <c r="M10" s="2"/>
      <c r="N10" s="2"/>
      <c r="O10" s="2"/>
      <c r="P10" s="2"/>
      <c r="Q10" s="2"/>
      <c r="EA10" s="158" t="str">
        <f t="shared" ref="EA10:EA19" si="1">IF(C10="","",VLOOKUP(C10,Month_Days,2,0)+IF(AND(C10=2,MOD(B10,4)=1),1,0))</f>
        <v/>
      </c>
    </row>
    <row r="11" spans="1:131" x14ac:dyDescent="0.25">
      <c r="A11" s="109" t="s">
        <v>211</v>
      </c>
      <c r="B11" s="184"/>
      <c r="C11" s="184"/>
      <c r="D11" s="184"/>
      <c r="E11" s="184"/>
      <c r="F11" s="184"/>
      <c r="G11" s="184"/>
      <c r="I11" s="187" t="str">
        <f t="shared" si="0"/>
        <v/>
      </c>
      <c r="J11" s="2"/>
      <c r="K11" s="2"/>
      <c r="L11" s="2"/>
      <c r="M11" s="2"/>
      <c r="N11" s="2"/>
      <c r="O11" s="2"/>
      <c r="P11" s="2"/>
      <c r="Q11" s="2"/>
      <c r="EA11" s="158" t="str">
        <f t="shared" si="1"/>
        <v/>
      </c>
    </row>
    <row r="12" spans="1:131" x14ac:dyDescent="0.25">
      <c r="A12" s="109" t="s">
        <v>212</v>
      </c>
      <c r="B12" s="184"/>
      <c r="C12" s="184"/>
      <c r="D12" s="184"/>
      <c r="E12" s="184"/>
      <c r="F12" s="184"/>
      <c r="G12" s="184"/>
      <c r="I12" s="187" t="str">
        <f t="shared" si="0"/>
        <v/>
      </c>
      <c r="J12" s="2"/>
      <c r="K12" s="2"/>
      <c r="L12" s="2"/>
      <c r="M12" s="2"/>
      <c r="N12" s="2"/>
      <c r="O12" s="2"/>
      <c r="P12" s="2"/>
      <c r="Q12" s="2"/>
      <c r="EA12" s="158" t="str">
        <f t="shared" si="1"/>
        <v/>
      </c>
    </row>
    <row r="13" spans="1:131" x14ac:dyDescent="0.25">
      <c r="A13" s="109" t="s">
        <v>213</v>
      </c>
      <c r="B13" s="184"/>
      <c r="C13" s="184"/>
      <c r="D13" s="184"/>
      <c r="E13" s="184"/>
      <c r="F13" s="184"/>
      <c r="G13" s="184"/>
      <c r="I13" s="187" t="str">
        <f t="shared" si="0"/>
        <v/>
      </c>
      <c r="J13" s="2"/>
      <c r="K13" s="2"/>
      <c r="L13" s="2"/>
      <c r="M13" s="2"/>
      <c r="N13" s="2"/>
      <c r="O13" s="2"/>
      <c r="P13" s="2"/>
      <c r="Q13" s="2"/>
      <c r="EA13" s="158" t="str">
        <f t="shared" si="1"/>
        <v/>
      </c>
    </row>
    <row r="14" spans="1:131" x14ac:dyDescent="0.25">
      <c r="A14" s="109" t="s">
        <v>214</v>
      </c>
      <c r="B14" s="184"/>
      <c r="C14" s="184"/>
      <c r="D14" s="184"/>
      <c r="E14" s="184"/>
      <c r="F14" s="184"/>
      <c r="G14" s="184"/>
      <c r="I14" s="187" t="str">
        <f t="shared" si="0"/>
        <v/>
      </c>
      <c r="J14" s="2"/>
      <c r="K14" s="2"/>
      <c r="L14" s="2"/>
      <c r="M14" s="2"/>
      <c r="N14" s="2"/>
      <c r="O14" s="2"/>
      <c r="P14" s="2"/>
      <c r="Q14" s="2"/>
      <c r="EA14" s="158" t="str">
        <f t="shared" si="1"/>
        <v/>
      </c>
    </row>
    <row r="15" spans="1:131" x14ac:dyDescent="0.25">
      <c r="A15" s="109" t="s">
        <v>215</v>
      </c>
      <c r="B15" s="184"/>
      <c r="C15" s="184"/>
      <c r="D15" s="184"/>
      <c r="E15" s="184"/>
      <c r="F15" s="184"/>
      <c r="G15" s="184"/>
      <c r="I15" s="187" t="str">
        <f t="shared" si="0"/>
        <v/>
      </c>
      <c r="J15" s="2"/>
      <c r="K15" s="2"/>
      <c r="L15" s="2"/>
      <c r="M15" s="2"/>
      <c r="N15" s="2"/>
      <c r="O15" s="2"/>
      <c r="P15" s="2"/>
      <c r="Q15" s="2"/>
      <c r="EA15" s="158" t="str">
        <f t="shared" si="1"/>
        <v/>
      </c>
    </row>
    <row r="16" spans="1:131" ht="17.25" thickBot="1" x14ac:dyDescent="0.3">
      <c r="A16" s="124" t="s">
        <v>216</v>
      </c>
      <c r="B16" s="185"/>
      <c r="C16" s="185"/>
      <c r="D16" s="185"/>
      <c r="E16" s="185"/>
      <c r="F16" s="185"/>
      <c r="G16" s="185"/>
      <c r="I16" s="187" t="str">
        <f t="shared" si="0"/>
        <v/>
      </c>
      <c r="J16" s="2"/>
      <c r="K16" s="2"/>
      <c r="L16" s="2"/>
      <c r="M16" s="2"/>
      <c r="N16" s="2"/>
      <c r="O16" s="2"/>
      <c r="P16" s="2"/>
      <c r="Q16" s="2"/>
      <c r="EA16" s="158" t="str">
        <f t="shared" si="1"/>
        <v/>
      </c>
    </row>
    <row r="17" spans="1:131" ht="17.25" thickTop="1" x14ac:dyDescent="0.25">
      <c r="A17" s="159" t="s">
        <v>191</v>
      </c>
      <c r="B17" s="186"/>
      <c r="C17" s="186"/>
      <c r="D17" s="186"/>
      <c r="E17" s="186"/>
      <c r="F17" s="186"/>
      <c r="G17" s="186"/>
      <c r="I17" s="187" t="str">
        <f t="shared" si="0"/>
        <v/>
      </c>
      <c r="J17" s="2"/>
      <c r="K17" s="2"/>
      <c r="L17" s="2"/>
      <c r="M17" s="2"/>
      <c r="N17" s="2"/>
      <c r="O17" s="2"/>
      <c r="P17" s="2"/>
      <c r="Q17" s="2"/>
      <c r="EA17" s="158" t="str">
        <f t="shared" si="1"/>
        <v/>
      </c>
    </row>
    <row r="18" spans="1:131" x14ac:dyDescent="0.25">
      <c r="A18" s="135" t="s">
        <v>192</v>
      </c>
      <c r="B18" s="184"/>
      <c r="C18" s="184"/>
      <c r="D18" s="184"/>
      <c r="E18" s="184"/>
      <c r="F18" s="184"/>
      <c r="G18" s="184"/>
      <c r="I18" s="187" t="str">
        <f t="shared" si="0"/>
        <v/>
      </c>
      <c r="J18" s="2"/>
      <c r="K18" s="2"/>
      <c r="L18" s="2"/>
      <c r="M18" s="2"/>
      <c r="N18" s="2"/>
      <c r="O18" s="2"/>
      <c r="P18" s="2"/>
      <c r="Q18" s="2"/>
      <c r="EA18" s="158" t="str">
        <f t="shared" si="1"/>
        <v/>
      </c>
    </row>
    <row r="19" spans="1:131" x14ac:dyDescent="0.25">
      <c r="A19" s="135" t="s">
        <v>193</v>
      </c>
      <c r="B19" s="184"/>
      <c r="C19" s="184"/>
      <c r="D19" s="184"/>
      <c r="E19" s="184"/>
      <c r="F19" s="184"/>
      <c r="G19" s="184"/>
      <c r="I19" s="187" t="str">
        <f t="shared" si="0"/>
        <v/>
      </c>
      <c r="J19" s="2"/>
      <c r="K19" s="2"/>
      <c r="L19" s="2"/>
      <c r="M19" s="2"/>
      <c r="N19" s="2"/>
      <c r="O19" s="2"/>
      <c r="P19" s="2"/>
      <c r="Q19" s="2"/>
      <c r="EA19" s="158" t="str">
        <f t="shared" si="1"/>
        <v/>
      </c>
    </row>
    <row r="20" spans="1:131" ht="3.75" customHeight="1" x14ac:dyDescent="0.25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  <c r="P20" s="2"/>
      <c r="Q20" s="2"/>
      <c r="EA20" s="2"/>
    </row>
    <row r="21" spans="1:131" x14ac:dyDescent="0.25">
      <c r="A21" s="285" t="s">
        <v>201</v>
      </c>
      <c r="B21" s="286"/>
      <c r="C21" s="286"/>
      <c r="D21" s="286"/>
      <c r="E21" s="286"/>
      <c r="F21" s="286"/>
      <c r="G21" s="287"/>
      <c r="I21" s="2"/>
      <c r="J21" s="2"/>
      <c r="K21" s="2"/>
      <c r="L21" s="2"/>
      <c r="M21" s="2"/>
      <c r="N21" s="2"/>
      <c r="O21" s="174"/>
      <c r="P21" s="2"/>
      <c r="Q21" s="2"/>
      <c r="EA21" s="2"/>
    </row>
    <row r="22" spans="1:131" x14ac:dyDescent="0.25">
      <c r="A22" s="53" t="s">
        <v>217</v>
      </c>
      <c r="B22" s="295" t="e">
        <f>試算各年退休條件!BC1002</f>
        <v>#VALUE!</v>
      </c>
      <c r="C22" s="296"/>
      <c r="D22" s="296"/>
      <c r="E22" s="296"/>
      <c r="F22" s="296"/>
      <c r="G22" s="297"/>
      <c r="I22" s="154"/>
      <c r="J22" s="154"/>
      <c r="K22" s="2"/>
      <c r="L22" s="2"/>
      <c r="M22" s="2"/>
      <c r="N22" s="2"/>
      <c r="O22" s="2"/>
      <c r="P22" s="2"/>
      <c r="EA22" s="154"/>
    </row>
    <row r="23" spans="1:131" x14ac:dyDescent="0.25">
      <c r="A23" s="53" t="s">
        <v>218</v>
      </c>
      <c r="B23" s="295" t="e">
        <f>試算各年退休條件!BC1003</f>
        <v>#VALUE!</v>
      </c>
      <c r="C23" s="296"/>
      <c r="D23" s="296"/>
      <c r="E23" s="296"/>
      <c r="F23" s="296"/>
      <c r="G23" s="297"/>
      <c r="I23" s="154"/>
      <c r="J23" s="154"/>
      <c r="K23" s="2"/>
      <c r="L23" s="2"/>
      <c r="M23" s="2"/>
      <c r="N23" s="2"/>
      <c r="O23" s="2"/>
      <c r="P23" s="2"/>
      <c r="EA23" s="154"/>
    </row>
    <row r="24" spans="1:131" x14ac:dyDescent="0.25">
      <c r="A24" s="53" t="s">
        <v>219</v>
      </c>
      <c r="B24" s="295" t="e">
        <f>試算各年退休條件!BC1007</f>
        <v>#VALUE!</v>
      </c>
      <c r="C24" s="296"/>
      <c r="D24" s="296"/>
      <c r="E24" s="296"/>
      <c r="F24" s="296"/>
      <c r="G24" s="297"/>
      <c r="I24" s="154"/>
      <c r="J24" s="154"/>
      <c r="K24" s="2"/>
      <c r="L24" s="2"/>
      <c r="M24" s="2"/>
      <c r="N24" s="2"/>
      <c r="O24" s="2"/>
      <c r="P24" s="2"/>
      <c r="Q24" s="2"/>
      <c r="EA24" s="154"/>
    </row>
    <row r="27" spans="1:131" ht="227.25" customHeight="1" x14ac:dyDescent="0.25">
      <c r="A27" s="280" t="s">
        <v>220</v>
      </c>
      <c r="B27" s="281"/>
      <c r="C27" s="281"/>
      <c r="D27" s="281"/>
      <c r="E27" s="281"/>
      <c r="F27" s="281"/>
      <c r="G27" s="281"/>
    </row>
    <row r="28" spans="1:131" x14ac:dyDescent="0.25">
      <c r="A28" s="180"/>
    </row>
    <row r="29" spans="1:131" x14ac:dyDescent="0.25">
      <c r="A29" s="180"/>
    </row>
    <row r="30" spans="1:131" x14ac:dyDescent="0.25">
      <c r="A30" s="180"/>
    </row>
    <row r="31" spans="1:131" x14ac:dyDescent="0.25">
      <c r="A31" s="180"/>
    </row>
    <row r="32" spans="1:131" x14ac:dyDescent="0.25">
      <c r="A32" s="180"/>
    </row>
    <row r="33" spans="1:1" x14ac:dyDescent="0.25">
      <c r="A33" s="180"/>
    </row>
    <row r="1001" spans="1:17" hidden="1" x14ac:dyDescent="0.25">
      <c r="A1001" s="3"/>
      <c r="B1001" s="148" t="s">
        <v>0</v>
      </c>
      <c r="C1001" s="148" t="s">
        <v>1</v>
      </c>
      <c r="D1001" s="148" t="s">
        <v>2</v>
      </c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 hidden="1" x14ac:dyDescent="0.25">
      <c r="A1002" s="53" t="s">
        <v>14</v>
      </c>
      <c r="B1002" s="157">
        <v>129</v>
      </c>
      <c r="C1002" s="11">
        <v>8</v>
      </c>
      <c r="D1002" s="11">
        <v>1</v>
      </c>
      <c r="E1002" s="288" t="e">
        <f>IF(計算過程!H1=6,計算過程!G1,"")</f>
        <v>#VALUE!</v>
      </c>
      <c r="F1002" s="289"/>
      <c r="G1002" s="289"/>
      <c r="H1002" s="163">
        <f>IF(C1002="","",VLOOKUP(C1002,Month_Days,2,0)+IF(AND(C1002=2,MOD(B1002,4)=1),1,0))</f>
        <v>31</v>
      </c>
      <c r="I1002" s="173">
        <f>IF(B1002="","",DATEVALUE(CONCATENATE(B1002+1911,"/",C1002,"/",D1002)))</f>
        <v>51349</v>
      </c>
      <c r="J1002" s="2"/>
      <c r="K1002" s="2"/>
      <c r="L1002" s="2"/>
      <c r="M1002" s="2"/>
      <c r="N1002" s="2"/>
      <c r="O1002" s="2"/>
      <c r="P1002" s="2"/>
      <c r="Q1002" s="2"/>
    </row>
    <row r="1003" spans="1:17" ht="4.5" hidden="1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 hidden="1" x14ac:dyDescent="0.25">
      <c r="A1004" s="150"/>
      <c r="B1004" s="4" t="s">
        <v>0</v>
      </c>
      <c r="C1004" s="4" t="s">
        <v>1</v>
      </c>
      <c r="D1004" s="4" t="s">
        <v>2</v>
      </c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 hidden="1" x14ac:dyDescent="0.25">
      <c r="A1005" s="150" t="s">
        <v>3</v>
      </c>
      <c r="B1005" s="4" t="e">
        <f>最早退休日期!Y19</f>
        <v>#VALUE!</v>
      </c>
      <c r="C1005" s="4" t="e">
        <f>最早退休日期!Z19</f>
        <v>#VALUE!</v>
      </c>
      <c r="D1005" s="4" t="e">
        <f>最早退休日期!AA19</f>
        <v>#VALUE!</v>
      </c>
      <c r="E1005" s="278" t="s">
        <v>79</v>
      </c>
      <c r="F1005" s="278"/>
      <c r="G1005" s="10" t="s">
        <v>80</v>
      </c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 hidden="1" x14ac:dyDescent="0.25">
      <c r="A1006" s="150" t="s">
        <v>8</v>
      </c>
      <c r="B1006" s="4" t="e">
        <f>最早退休日期!AB19</f>
        <v>#VALUE!</v>
      </c>
      <c r="C1006" s="4" t="e">
        <f>最早退休日期!AC19</f>
        <v>#VALUE!</v>
      </c>
      <c r="D1006" s="4" t="e">
        <f>最早退休日期!AD19</f>
        <v>#VALUE!</v>
      </c>
      <c r="E1006" s="279" t="s">
        <v>195</v>
      </c>
      <c r="F1006" s="279"/>
      <c r="G1006" s="10" t="s">
        <v>81</v>
      </c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 ht="4.5" hidden="1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 ht="31.5" hidden="1" x14ac:dyDescent="0.25">
      <c r="A1008" s="160" t="s">
        <v>19</v>
      </c>
      <c r="B1008" s="10" t="s">
        <v>20</v>
      </c>
      <c r="C1008" s="148" t="s">
        <v>82</v>
      </c>
      <c r="D1008" s="11">
        <v>650</v>
      </c>
      <c r="E1008" s="148" t="s">
        <v>101</v>
      </c>
      <c r="F1008" s="10" t="s">
        <v>203</v>
      </c>
      <c r="G1008" s="64" t="e">
        <f>計算過程!J2</f>
        <v>#VALUE!</v>
      </c>
      <c r="H1008" s="162"/>
      <c r="M1008" s="2"/>
      <c r="N1008" s="2"/>
      <c r="O1008" s="2"/>
      <c r="P1008" s="2"/>
      <c r="Q1008" s="2"/>
    </row>
    <row r="1009" spans="1:17" ht="4.5" hidden="1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 ht="16.5" hidden="1" customHeight="1" x14ac:dyDescent="0.25">
      <c r="A1010" s="298" t="s">
        <v>21</v>
      </c>
      <c r="B1010" s="299"/>
      <c r="C1010" s="101"/>
      <c r="D1010" s="178" t="str">
        <f>計算過程!F17</f>
        <v/>
      </c>
      <c r="E1010" s="161"/>
      <c r="F1010" s="161"/>
      <c r="G1010" s="2"/>
      <c r="H1010" s="164"/>
      <c r="I1010" s="2"/>
      <c r="J1010" s="2"/>
      <c r="K1010" s="2"/>
      <c r="L1010" s="2"/>
      <c r="M1010" s="2"/>
      <c r="N1010" s="2"/>
      <c r="O1010" s="2"/>
      <c r="P1010" s="2"/>
    </row>
    <row r="1011" spans="1:17" hidden="1" x14ac:dyDescent="0.25">
      <c r="A1011" s="285" t="s">
        <v>22</v>
      </c>
      <c r="B1011" s="287"/>
      <c r="C1011" s="151" t="s">
        <v>23</v>
      </c>
      <c r="D1011" s="151" t="s">
        <v>24</v>
      </c>
      <c r="E1011" s="152" t="s">
        <v>64</v>
      </c>
      <c r="F1011" s="150" t="s">
        <v>42</v>
      </c>
      <c r="G1011" s="2"/>
      <c r="H1011" s="50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 hidden="1" x14ac:dyDescent="0.25">
      <c r="A1012" s="46" t="str">
        <f>CONCATENATE($B$1002,"年薪點")</f>
        <v>129年薪點</v>
      </c>
      <c r="B1012" s="171" t="s">
        <v>25</v>
      </c>
      <c r="C1012" s="73">
        <v>650</v>
      </c>
      <c r="D1012" s="74">
        <f>計算過程!F19</f>
        <v>48415</v>
      </c>
      <c r="E1012" s="65">
        <f>計算過程!G19</f>
        <v>5</v>
      </c>
      <c r="F1012" s="75">
        <f>計算過程!H19</f>
        <v>45750</v>
      </c>
      <c r="G1012" s="154">
        <v>5</v>
      </c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 hidden="1" x14ac:dyDescent="0.25">
      <c r="A1013" s="46" t="str">
        <f>CONCATENATE($B$1002-1,"年薪點")</f>
        <v>128年薪點</v>
      </c>
      <c r="B1013" s="171" t="s">
        <v>28</v>
      </c>
      <c r="C1013" s="80">
        <v>625</v>
      </c>
      <c r="D1013" s="35">
        <f>計算過程!F20</f>
        <v>47080</v>
      </c>
      <c r="E1013" s="65">
        <f>計算過程!G20</f>
        <v>6</v>
      </c>
      <c r="F1013" s="75">
        <f>計算過程!H20</f>
        <v>45084.166666666664</v>
      </c>
      <c r="G1013" s="154">
        <v>5</v>
      </c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 hidden="1" x14ac:dyDescent="0.25">
      <c r="A1014" s="46" t="str">
        <f>CONCATENATE($B$1002-2,"年薪點")</f>
        <v>127年薪點</v>
      </c>
      <c r="B1014" s="171" t="s">
        <v>29</v>
      </c>
      <c r="C1014" s="83">
        <v>600</v>
      </c>
      <c r="D1014" s="35">
        <f>計算過程!F21</f>
        <v>45750</v>
      </c>
      <c r="E1014" s="65">
        <f>計算過程!G21</f>
        <v>7</v>
      </c>
      <c r="F1014" s="75">
        <f>計算過程!H21</f>
        <v>44417.857142857145</v>
      </c>
      <c r="G1014" s="154">
        <v>5</v>
      </c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 hidden="1" x14ac:dyDescent="0.25">
      <c r="A1015" s="46" t="str">
        <f>CONCATENATE($B$1002-3,"年薪點")</f>
        <v>126年薪點</v>
      </c>
      <c r="B1015" s="171" t="s">
        <v>30</v>
      </c>
      <c r="C1015" s="83">
        <v>575</v>
      </c>
      <c r="D1015" s="35">
        <f>計算過程!F22</f>
        <v>44420</v>
      </c>
      <c r="E1015" s="65">
        <f>計算過程!G22</f>
        <v>8</v>
      </c>
      <c r="F1015" s="75">
        <f>計算過程!H22</f>
        <v>43751.875</v>
      </c>
      <c r="G1015" s="154">
        <v>5</v>
      </c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 hidden="1" x14ac:dyDescent="0.25">
      <c r="A1016" s="46" t="str">
        <f>CONCATENATE($B$1002-4,"年薪點")</f>
        <v>125年薪點</v>
      </c>
      <c r="B1016" s="171" t="s">
        <v>31</v>
      </c>
      <c r="C1016" s="83">
        <v>550</v>
      </c>
      <c r="D1016" s="35">
        <f>計算過程!F23</f>
        <v>43085</v>
      </c>
      <c r="E1016" s="65">
        <f>計算過程!G23</f>
        <v>9</v>
      </c>
      <c r="F1016" s="75">
        <f>計算過程!H23</f>
        <v>42937.777777777781</v>
      </c>
      <c r="G1016" s="154">
        <v>5</v>
      </c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 hidden="1" x14ac:dyDescent="0.25">
      <c r="A1017" s="46" t="str">
        <f>CONCATENATE($B$1002-5,"年薪點")</f>
        <v>124年薪點</v>
      </c>
      <c r="B1017" s="171" t="s">
        <v>32</v>
      </c>
      <c r="C1017" s="83">
        <v>525</v>
      </c>
      <c r="D1017" s="35">
        <f>計算過程!F24</f>
        <v>41755</v>
      </c>
      <c r="E1017" s="65">
        <f>計算過程!G24</f>
        <v>10</v>
      </c>
      <c r="F1017" s="75">
        <f>計算過程!H24</f>
        <v>42186.5</v>
      </c>
      <c r="G1017" s="154">
        <v>6</v>
      </c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 hidden="1" x14ac:dyDescent="0.25">
      <c r="A1018" s="46" t="str">
        <f>CONCATENATE($B$1002-6,"年薪點")</f>
        <v>123年薪點</v>
      </c>
      <c r="B1018" s="171" t="s">
        <v>33</v>
      </c>
      <c r="C1018" s="83">
        <v>500</v>
      </c>
      <c r="D1018" s="35">
        <f>計算過程!F25</f>
        <v>40420</v>
      </c>
      <c r="E1018" s="65">
        <f>計算過程!G25</f>
        <v>11</v>
      </c>
      <c r="F1018" s="75">
        <f>計算過程!H25</f>
        <v>41481.36363636364</v>
      </c>
      <c r="G1018" s="154">
        <v>7</v>
      </c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 hidden="1" x14ac:dyDescent="0.25">
      <c r="A1019" s="46" t="str">
        <f>CONCATENATE($B$1002-7,"年薪點")</f>
        <v>122年薪點</v>
      </c>
      <c r="B1019" s="171" t="s">
        <v>34</v>
      </c>
      <c r="C1019" s="83">
        <v>475</v>
      </c>
      <c r="D1019" s="35">
        <f>計算過程!F26</f>
        <v>39090</v>
      </c>
      <c r="E1019" s="65">
        <f>計算過程!G26</f>
        <v>12</v>
      </c>
      <c r="F1019" s="75">
        <f>計算過程!H26</f>
        <v>40810.416666666664</v>
      </c>
      <c r="G1019" s="154">
        <v>8</v>
      </c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 hidden="1" x14ac:dyDescent="0.25">
      <c r="A1020" s="46" t="str">
        <f>CONCATENATE($B$1002-8,"年薪點")</f>
        <v>121年薪點</v>
      </c>
      <c r="B1020" s="171" t="s">
        <v>35</v>
      </c>
      <c r="C1020" s="83">
        <v>450</v>
      </c>
      <c r="D1020" s="35">
        <f>計算過程!F27</f>
        <v>36425</v>
      </c>
      <c r="E1020" s="65">
        <f>計算過程!G27</f>
        <v>13</v>
      </c>
      <c r="F1020" s="75">
        <f>計算過程!H27</f>
        <v>40165.769230769234</v>
      </c>
      <c r="G1020" s="154">
        <v>9</v>
      </c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 hidden="1" x14ac:dyDescent="0.25">
      <c r="A1021" s="46" t="str">
        <f>CONCATENATE($B$1002-9,"年薪點")</f>
        <v>120年薪點</v>
      </c>
      <c r="B1021" s="171" t="s">
        <v>36</v>
      </c>
      <c r="C1021" s="83">
        <v>430</v>
      </c>
      <c r="D1021" s="35">
        <f>計算過程!F28</f>
        <v>35425</v>
      </c>
      <c r="E1021" s="65">
        <f>計算過程!G28</f>
        <v>14</v>
      </c>
      <c r="F1021" s="75">
        <f>計算過程!H28</f>
        <v>39541.785714285717</v>
      </c>
      <c r="G1021" s="154">
        <v>10</v>
      </c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 hidden="1" x14ac:dyDescent="0.25">
      <c r="A1022" s="46" t="str">
        <f>CONCATENATE($B$1002-10,"年薪點")</f>
        <v>119年薪點</v>
      </c>
      <c r="B1022" s="171" t="s">
        <v>37</v>
      </c>
      <c r="C1022" s="83">
        <v>410</v>
      </c>
      <c r="D1022" s="66">
        <f>計算過程!F29</f>
        <v>34430</v>
      </c>
      <c r="E1022" s="65">
        <f>計算過程!G29</f>
        <v>15</v>
      </c>
      <c r="F1022" s="75">
        <f>計算過程!H29</f>
        <v>38934.333333333336</v>
      </c>
      <c r="G1022" s="154">
        <v>11</v>
      </c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 hidden="1" x14ac:dyDescent="0.25">
      <c r="A1023" s="46" t="str">
        <f>CONCATENATE($B$1002-11,"年薪點")</f>
        <v>118年薪點</v>
      </c>
      <c r="B1023" s="171" t="s">
        <v>38</v>
      </c>
      <c r="C1023" s="83">
        <v>390</v>
      </c>
      <c r="D1023" s="66">
        <f>計算過程!F30</f>
        <v>33430</v>
      </c>
      <c r="E1023" s="84"/>
      <c r="F1023" s="76">
        <f>計算過程!H30</f>
        <v>38934.333333333336</v>
      </c>
      <c r="G1023" s="154">
        <v>12</v>
      </c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 hidden="1" x14ac:dyDescent="0.25">
      <c r="A1024" s="46" t="str">
        <f>CONCATENATE($B$1002-12,"年薪點")</f>
        <v>117年薪點</v>
      </c>
      <c r="B1024" s="171" t="s">
        <v>39</v>
      </c>
      <c r="C1024" s="83">
        <v>370</v>
      </c>
      <c r="D1024" s="66">
        <f>計算過程!F31</f>
        <v>32430</v>
      </c>
      <c r="E1024" s="67"/>
      <c r="F1024" s="77"/>
      <c r="G1024" s="154">
        <v>13</v>
      </c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 hidden="1" x14ac:dyDescent="0.25">
      <c r="A1025" s="46" t="str">
        <f>CONCATENATE($B$1002-13,"年薪點")</f>
        <v>116年薪點</v>
      </c>
      <c r="B1025" s="171" t="s">
        <v>40</v>
      </c>
      <c r="C1025" s="83">
        <v>350</v>
      </c>
      <c r="D1025" s="66">
        <f>計算過程!F32</f>
        <v>31430</v>
      </c>
      <c r="E1025" s="68"/>
      <c r="F1025" s="78"/>
      <c r="G1025" s="154">
        <v>14</v>
      </c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 hidden="1" x14ac:dyDescent="0.25">
      <c r="A1026" s="46" t="str">
        <f>CONCATENATE($B$1002-14,"年薪點")</f>
        <v>115年薪點</v>
      </c>
      <c r="B1026" s="171" t="s">
        <v>41</v>
      </c>
      <c r="C1026" s="82">
        <v>330</v>
      </c>
      <c r="D1026" s="22">
        <f>計算過程!F33</f>
        <v>30430</v>
      </c>
      <c r="E1026" s="69"/>
      <c r="F1026" s="21"/>
      <c r="G1026" s="154">
        <v>15</v>
      </c>
      <c r="H1026" s="2"/>
      <c r="I1026" s="2"/>
      <c r="J1026" s="2"/>
      <c r="K1026" s="2"/>
      <c r="L1026" s="2"/>
      <c r="M1026" s="2"/>
      <c r="N1026" s="2"/>
      <c r="O1026" s="2"/>
      <c r="P1026" s="2"/>
    </row>
    <row r="1027" spans="1:17" ht="4.5" hidden="1" customHeight="1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 ht="16.5" hidden="1" customHeight="1" x14ac:dyDescent="0.25">
      <c r="A1028" s="34" t="s">
        <v>94</v>
      </c>
      <c r="B1028" s="150" t="s">
        <v>197</v>
      </c>
      <c r="C1028" s="150" t="s">
        <v>198</v>
      </c>
      <c r="D1028" s="150" t="s">
        <v>199</v>
      </c>
      <c r="E1028" s="150" t="s">
        <v>200</v>
      </c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 ht="16.5" hidden="1" customHeight="1" x14ac:dyDescent="0.25">
      <c r="A1029" s="172" t="e">
        <f>Org_Income</f>
        <v>#VALUE!</v>
      </c>
      <c r="B1029" s="172" t="e">
        <f>Tol_Income</f>
        <v>#VALUE!</v>
      </c>
      <c r="C1029" s="172" t="e">
        <f>Compensation</f>
        <v>#VALUE!</v>
      </c>
      <c r="D1029" s="172" t="e">
        <f>計算過程!I35</f>
        <v>#VALUE!</v>
      </c>
      <c r="E1029" s="172" t="e">
        <f>Floor</f>
        <v>#VALUE!</v>
      </c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 ht="4.5" hidden="1" customHeight="1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 hidden="1" x14ac:dyDescent="0.25">
      <c r="A1031" s="278" t="s">
        <v>6</v>
      </c>
      <c r="B1031" s="279" t="s">
        <v>93</v>
      </c>
      <c r="C1031" s="279" t="s">
        <v>70</v>
      </c>
      <c r="D1031" s="283" t="s">
        <v>91</v>
      </c>
      <c r="E1031" s="285" t="s">
        <v>90</v>
      </c>
      <c r="F1031" s="286"/>
      <c r="G1031" s="286"/>
      <c r="H1031" s="287"/>
      <c r="I1031" s="278" t="s">
        <v>92</v>
      </c>
      <c r="J1031" s="278"/>
      <c r="K1031" s="278"/>
      <c r="L1031" s="278"/>
      <c r="M1031" s="2"/>
      <c r="N1031" s="2"/>
      <c r="O1031" s="2"/>
      <c r="P1031" s="2"/>
      <c r="Q1031" s="2"/>
    </row>
    <row r="1032" spans="1:17" ht="31.5" hidden="1" x14ac:dyDescent="0.25">
      <c r="A1032" s="278"/>
      <c r="B1032" s="279"/>
      <c r="C1032" s="279"/>
      <c r="D1032" s="284"/>
      <c r="E1032" s="148" t="s">
        <v>85</v>
      </c>
      <c r="F1032" s="148" t="s">
        <v>59</v>
      </c>
      <c r="G1032" s="148" t="s">
        <v>86</v>
      </c>
      <c r="H1032" s="148" t="s">
        <v>87</v>
      </c>
      <c r="I1032" s="148" t="s">
        <v>85</v>
      </c>
      <c r="J1032" s="148" t="s">
        <v>59</v>
      </c>
      <c r="K1032" s="148" t="s">
        <v>86</v>
      </c>
      <c r="L1032" s="148" t="s">
        <v>87</v>
      </c>
      <c r="M1032" s="2"/>
      <c r="N1032" s="2"/>
      <c r="O1032" s="2"/>
      <c r="P1032" s="2"/>
      <c r="Q1032" s="2"/>
    </row>
    <row r="1033" spans="1:17" hidden="1" x14ac:dyDescent="0.25">
      <c r="A1033" s="150" t="e">
        <f>計算過程!A41</f>
        <v>#VALUE!</v>
      </c>
      <c r="B1033" s="36" t="e">
        <f>計算過程!B41</f>
        <v>#VALUE!</v>
      </c>
      <c r="C1033" s="149" t="e">
        <f>計算過程!C41</f>
        <v>#VALUE!</v>
      </c>
      <c r="D1033" s="43" t="e">
        <f>計算過程!D41</f>
        <v>#VALUE!</v>
      </c>
      <c r="E1033" s="43" t="e">
        <f>計算過程!E41</f>
        <v>#VALUE!</v>
      </c>
      <c r="F1033" s="43" t="e">
        <f>計算過程!F41</f>
        <v>#VALUE!</v>
      </c>
      <c r="G1033" s="43" t="e">
        <f>計算過程!G41</f>
        <v>#VALUE!</v>
      </c>
      <c r="H1033" s="43" t="e">
        <f>計算過程!H41</f>
        <v>#VALUE!</v>
      </c>
      <c r="I1033" s="44" t="e">
        <f>計算過程!I41</f>
        <v>#VALUE!</v>
      </c>
      <c r="J1033" s="43" t="e">
        <f>計算過程!J41</f>
        <v>#VALUE!</v>
      </c>
      <c r="K1033" s="43" t="e">
        <f>計算過程!K41</f>
        <v>#VALUE!</v>
      </c>
      <c r="L1033" s="43" t="e">
        <f>計算過程!L41</f>
        <v>#VALUE!</v>
      </c>
      <c r="M1033" s="2"/>
      <c r="N1033" s="2"/>
      <c r="O1033" s="2"/>
      <c r="P1033" s="2"/>
      <c r="Q1033" s="2"/>
    </row>
    <row r="1034" spans="1:17" hidden="1" x14ac:dyDescent="0.25">
      <c r="A1034" s="150" t="e">
        <f>計算過程!A42</f>
        <v>#VALUE!</v>
      </c>
      <c r="B1034" s="36" t="e">
        <f>計算過程!B42</f>
        <v>#VALUE!</v>
      </c>
      <c r="C1034" s="149" t="e">
        <f>計算過程!C42</f>
        <v>#VALUE!</v>
      </c>
      <c r="D1034" s="43" t="e">
        <f>計算過程!D42</f>
        <v>#VALUE!</v>
      </c>
      <c r="E1034" s="43" t="e">
        <f>計算過程!E42</f>
        <v>#VALUE!</v>
      </c>
      <c r="F1034" s="43" t="e">
        <f>計算過程!F42</f>
        <v>#VALUE!</v>
      </c>
      <c r="G1034" s="43" t="e">
        <f>計算過程!G42</f>
        <v>#VALUE!</v>
      </c>
      <c r="H1034" s="43" t="e">
        <f>計算過程!H42</f>
        <v>#VALUE!</v>
      </c>
      <c r="I1034" s="44" t="e">
        <f>計算過程!I42</f>
        <v>#VALUE!</v>
      </c>
      <c r="J1034" s="43" t="e">
        <f>計算過程!J42</f>
        <v>#VALUE!</v>
      </c>
      <c r="K1034" s="43" t="e">
        <f>計算過程!K42</f>
        <v>#VALUE!</v>
      </c>
      <c r="L1034" s="43" t="e">
        <f>計算過程!L42</f>
        <v>#VALUE!</v>
      </c>
      <c r="M1034" s="2"/>
      <c r="N1034" s="2"/>
      <c r="O1034" s="2"/>
      <c r="P1034" s="2"/>
      <c r="Q1034" s="2"/>
    </row>
    <row r="1035" spans="1:17" hidden="1" x14ac:dyDescent="0.25">
      <c r="A1035" s="150" t="e">
        <f>計算過程!A43</f>
        <v>#VALUE!</v>
      </c>
      <c r="B1035" s="36" t="e">
        <f>計算過程!B43</f>
        <v>#VALUE!</v>
      </c>
      <c r="C1035" s="149" t="e">
        <f>計算過程!C43</f>
        <v>#VALUE!</v>
      </c>
      <c r="D1035" s="43" t="e">
        <f>計算過程!D43</f>
        <v>#VALUE!</v>
      </c>
      <c r="E1035" s="43" t="e">
        <f>計算過程!E43</f>
        <v>#VALUE!</v>
      </c>
      <c r="F1035" s="43" t="e">
        <f>計算過程!F43</f>
        <v>#VALUE!</v>
      </c>
      <c r="G1035" s="43" t="e">
        <f>計算過程!G43</f>
        <v>#VALUE!</v>
      </c>
      <c r="H1035" s="43" t="e">
        <f>計算過程!H43</f>
        <v>#VALUE!</v>
      </c>
      <c r="I1035" s="44" t="e">
        <f>計算過程!I43</f>
        <v>#VALUE!</v>
      </c>
      <c r="J1035" s="43" t="e">
        <f>計算過程!J43</f>
        <v>#VALUE!</v>
      </c>
      <c r="K1035" s="43" t="e">
        <f>計算過程!K43</f>
        <v>#VALUE!</v>
      </c>
      <c r="L1035" s="43" t="e">
        <f>計算過程!L43</f>
        <v>#VALUE!</v>
      </c>
      <c r="M1035" s="2"/>
      <c r="N1035" s="2"/>
      <c r="O1035" s="2"/>
      <c r="P1035" s="2"/>
      <c r="Q1035" s="2"/>
    </row>
    <row r="1036" spans="1:17" hidden="1" x14ac:dyDescent="0.25">
      <c r="A1036" s="150" t="e">
        <f>計算過程!A44</f>
        <v>#VALUE!</v>
      </c>
      <c r="B1036" s="36" t="e">
        <f>計算過程!B44</f>
        <v>#VALUE!</v>
      </c>
      <c r="C1036" s="149" t="e">
        <f>計算過程!C44</f>
        <v>#VALUE!</v>
      </c>
      <c r="D1036" s="43" t="e">
        <f>計算過程!D44</f>
        <v>#VALUE!</v>
      </c>
      <c r="E1036" s="43" t="e">
        <f>計算過程!E44</f>
        <v>#VALUE!</v>
      </c>
      <c r="F1036" s="43" t="e">
        <f>計算過程!F44</f>
        <v>#VALUE!</v>
      </c>
      <c r="G1036" s="43" t="e">
        <f>計算過程!G44</f>
        <v>#VALUE!</v>
      </c>
      <c r="H1036" s="43" t="e">
        <f>計算過程!H44</f>
        <v>#VALUE!</v>
      </c>
      <c r="I1036" s="44" t="e">
        <f>計算過程!I44</f>
        <v>#VALUE!</v>
      </c>
      <c r="J1036" s="43" t="e">
        <f>計算過程!J44</f>
        <v>#VALUE!</v>
      </c>
      <c r="K1036" s="43" t="e">
        <f>計算過程!K44</f>
        <v>#VALUE!</v>
      </c>
      <c r="L1036" s="43" t="e">
        <f>計算過程!L44</f>
        <v>#VALUE!</v>
      </c>
      <c r="M1036" s="2"/>
      <c r="N1036" s="2"/>
      <c r="O1036" s="2"/>
      <c r="P1036" s="2"/>
      <c r="Q1036" s="2"/>
    </row>
    <row r="1037" spans="1:17" hidden="1" x14ac:dyDescent="0.25">
      <c r="A1037" s="150" t="e">
        <f>計算過程!A45</f>
        <v>#VALUE!</v>
      </c>
      <c r="B1037" s="36" t="e">
        <f>計算過程!B45</f>
        <v>#VALUE!</v>
      </c>
      <c r="C1037" s="149" t="e">
        <f>計算過程!C45</f>
        <v>#VALUE!</v>
      </c>
      <c r="D1037" s="43" t="e">
        <f>計算過程!D45</f>
        <v>#VALUE!</v>
      </c>
      <c r="E1037" s="43" t="e">
        <f>計算過程!E45</f>
        <v>#VALUE!</v>
      </c>
      <c r="F1037" s="43" t="e">
        <f>計算過程!F45</f>
        <v>#VALUE!</v>
      </c>
      <c r="G1037" s="43" t="e">
        <f>計算過程!G45</f>
        <v>#VALUE!</v>
      </c>
      <c r="H1037" s="43" t="e">
        <f>計算過程!H45</f>
        <v>#VALUE!</v>
      </c>
      <c r="I1037" s="44" t="e">
        <f>計算過程!I45</f>
        <v>#VALUE!</v>
      </c>
      <c r="J1037" s="43" t="e">
        <f>計算過程!J45</f>
        <v>#VALUE!</v>
      </c>
      <c r="K1037" s="43" t="e">
        <f>計算過程!K45</f>
        <v>#VALUE!</v>
      </c>
      <c r="L1037" s="43" t="e">
        <f>計算過程!L45</f>
        <v>#VALUE!</v>
      </c>
      <c r="M1037" s="2"/>
      <c r="N1037" s="2"/>
      <c r="O1037" s="2"/>
      <c r="P1037" s="2"/>
      <c r="Q1037" s="2"/>
    </row>
    <row r="1038" spans="1:17" hidden="1" x14ac:dyDescent="0.25">
      <c r="A1038" s="150" t="e">
        <f>計算過程!A46</f>
        <v>#VALUE!</v>
      </c>
      <c r="B1038" s="36" t="e">
        <f>計算過程!B46</f>
        <v>#VALUE!</v>
      </c>
      <c r="C1038" s="149" t="e">
        <f>計算過程!C46</f>
        <v>#VALUE!</v>
      </c>
      <c r="D1038" s="43" t="e">
        <f>計算過程!D46</f>
        <v>#VALUE!</v>
      </c>
      <c r="E1038" s="43" t="e">
        <f>計算過程!E46</f>
        <v>#VALUE!</v>
      </c>
      <c r="F1038" s="43" t="e">
        <f>計算過程!F46</f>
        <v>#VALUE!</v>
      </c>
      <c r="G1038" s="43" t="e">
        <f>計算過程!G46</f>
        <v>#VALUE!</v>
      </c>
      <c r="H1038" s="43" t="e">
        <f>計算過程!H46</f>
        <v>#VALUE!</v>
      </c>
      <c r="I1038" s="44" t="e">
        <f>計算過程!I46</f>
        <v>#VALUE!</v>
      </c>
      <c r="J1038" s="43" t="e">
        <f>計算過程!J46</f>
        <v>#VALUE!</v>
      </c>
      <c r="K1038" s="43" t="e">
        <f>計算過程!K46</f>
        <v>#VALUE!</v>
      </c>
      <c r="L1038" s="43" t="e">
        <f>計算過程!L46</f>
        <v>#VALUE!</v>
      </c>
      <c r="M1038" s="2"/>
      <c r="N1038" s="2"/>
      <c r="O1038" s="2"/>
      <c r="P1038" s="2"/>
      <c r="Q1038" s="2"/>
    </row>
    <row r="1039" spans="1:17" hidden="1" x14ac:dyDescent="0.25">
      <c r="A1039" s="150" t="e">
        <f>計算過程!A47</f>
        <v>#VALUE!</v>
      </c>
      <c r="B1039" s="36" t="e">
        <f>計算過程!B47</f>
        <v>#VALUE!</v>
      </c>
      <c r="C1039" s="149" t="e">
        <f>計算過程!C47</f>
        <v>#VALUE!</v>
      </c>
      <c r="D1039" s="43" t="e">
        <f>計算過程!D47</f>
        <v>#VALUE!</v>
      </c>
      <c r="E1039" s="43" t="e">
        <f>計算過程!E47</f>
        <v>#VALUE!</v>
      </c>
      <c r="F1039" s="43" t="e">
        <f>計算過程!F47</f>
        <v>#VALUE!</v>
      </c>
      <c r="G1039" s="43" t="e">
        <f>計算過程!G47</f>
        <v>#VALUE!</v>
      </c>
      <c r="H1039" s="43" t="e">
        <f>計算過程!H47</f>
        <v>#VALUE!</v>
      </c>
      <c r="I1039" s="44" t="e">
        <f>計算過程!I47</f>
        <v>#VALUE!</v>
      </c>
      <c r="J1039" s="43" t="e">
        <f>計算過程!J47</f>
        <v>#VALUE!</v>
      </c>
      <c r="K1039" s="43" t="e">
        <f>計算過程!K47</f>
        <v>#VALUE!</v>
      </c>
      <c r="L1039" s="43" t="e">
        <f>計算過程!L47</f>
        <v>#VALUE!</v>
      </c>
      <c r="M1039" s="2"/>
      <c r="N1039" s="2"/>
      <c r="O1039" s="2"/>
      <c r="P1039" s="2"/>
      <c r="Q1039" s="2"/>
    </row>
    <row r="1040" spans="1:17" hidden="1" x14ac:dyDescent="0.25">
      <c r="A1040" s="150" t="e">
        <f>計算過程!A48</f>
        <v>#VALUE!</v>
      </c>
      <c r="B1040" s="36" t="e">
        <f>計算過程!B48</f>
        <v>#VALUE!</v>
      </c>
      <c r="C1040" s="149" t="e">
        <f>計算過程!C48</f>
        <v>#VALUE!</v>
      </c>
      <c r="D1040" s="43" t="e">
        <f>計算過程!D48</f>
        <v>#VALUE!</v>
      </c>
      <c r="E1040" s="43" t="e">
        <f>計算過程!E48</f>
        <v>#VALUE!</v>
      </c>
      <c r="F1040" s="43" t="e">
        <f>計算過程!F48</f>
        <v>#VALUE!</v>
      </c>
      <c r="G1040" s="43" t="e">
        <f>計算過程!G48</f>
        <v>#VALUE!</v>
      </c>
      <c r="H1040" s="43" t="e">
        <f>計算過程!H48</f>
        <v>#VALUE!</v>
      </c>
      <c r="I1040" s="44" t="e">
        <f>計算過程!I48</f>
        <v>#VALUE!</v>
      </c>
      <c r="J1040" s="43" t="e">
        <f>計算過程!J48</f>
        <v>#VALUE!</v>
      </c>
      <c r="K1040" s="43" t="e">
        <f>計算過程!K48</f>
        <v>#VALUE!</v>
      </c>
      <c r="L1040" s="43" t="e">
        <f>計算過程!L48</f>
        <v>#VALUE!</v>
      </c>
      <c r="M1040" s="2"/>
      <c r="N1040" s="2"/>
      <c r="O1040" s="2"/>
      <c r="P1040" s="2"/>
      <c r="Q1040" s="2"/>
    </row>
    <row r="1041" spans="1:17" hidden="1" x14ac:dyDescent="0.25">
      <c r="A1041" s="150" t="e">
        <f>計算過程!A49</f>
        <v>#VALUE!</v>
      </c>
      <c r="B1041" s="36" t="e">
        <f>計算過程!B49</f>
        <v>#VALUE!</v>
      </c>
      <c r="C1041" s="149" t="e">
        <f>計算過程!C49</f>
        <v>#VALUE!</v>
      </c>
      <c r="D1041" s="43" t="e">
        <f>計算過程!D49</f>
        <v>#VALUE!</v>
      </c>
      <c r="E1041" s="43" t="e">
        <f>計算過程!E49</f>
        <v>#VALUE!</v>
      </c>
      <c r="F1041" s="43" t="e">
        <f>計算過程!F49</f>
        <v>#VALUE!</v>
      </c>
      <c r="G1041" s="43" t="e">
        <f>計算過程!G49</f>
        <v>#VALUE!</v>
      </c>
      <c r="H1041" s="43" t="e">
        <f>計算過程!H49</f>
        <v>#VALUE!</v>
      </c>
      <c r="I1041" s="44" t="e">
        <f>計算過程!I49</f>
        <v>#VALUE!</v>
      </c>
      <c r="J1041" s="43" t="e">
        <f>計算過程!J49</f>
        <v>#VALUE!</v>
      </c>
      <c r="K1041" s="43" t="e">
        <f>計算過程!K49</f>
        <v>#VALUE!</v>
      </c>
      <c r="L1041" s="43" t="e">
        <f>計算過程!L49</f>
        <v>#VALUE!</v>
      </c>
      <c r="M1041" s="2"/>
      <c r="N1041" s="2"/>
      <c r="O1041" s="2"/>
      <c r="P1041" s="2"/>
      <c r="Q1041" s="2"/>
    </row>
    <row r="1042" spans="1:17" hidden="1" x14ac:dyDescent="0.25">
      <c r="A1042" s="150" t="e">
        <f>計算過程!A50</f>
        <v>#VALUE!</v>
      </c>
      <c r="B1042" s="36" t="e">
        <f>計算過程!B50</f>
        <v>#VALUE!</v>
      </c>
      <c r="C1042" s="149" t="e">
        <f>計算過程!C50</f>
        <v>#VALUE!</v>
      </c>
      <c r="D1042" s="43" t="e">
        <f>計算過程!D50</f>
        <v>#VALUE!</v>
      </c>
      <c r="E1042" s="43" t="e">
        <f>計算過程!E50</f>
        <v>#VALUE!</v>
      </c>
      <c r="F1042" s="43" t="e">
        <f>計算過程!F50</f>
        <v>#VALUE!</v>
      </c>
      <c r="G1042" s="43" t="e">
        <f>計算過程!G50</f>
        <v>#VALUE!</v>
      </c>
      <c r="H1042" s="43" t="e">
        <f>計算過程!H50</f>
        <v>#VALUE!</v>
      </c>
      <c r="I1042" s="44" t="e">
        <f>計算過程!I50</f>
        <v>#VALUE!</v>
      </c>
      <c r="J1042" s="43" t="e">
        <f>計算過程!J50</f>
        <v>#VALUE!</v>
      </c>
      <c r="K1042" s="43" t="e">
        <f>計算過程!K50</f>
        <v>#VALUE!</v>
      </c>
      <c r="L1042" s="43" t="e">
        <f>計算過程!L50</f>
        <v>#VALUE!</v>
      </c>
      <c r="M1042" s="2"/>
      <c r="N1042" s="2"/>
      <c r="O1042" s="2"/>
      <c r="P1042" s="2"/>
      <c r="Q1042" s="2"/>
    </row>
    <row r="1043" spans="1:17" hidden="1" x14ac:dyDescent="0.25">
      <c r="A1043" s="150" t="e">
        <f>計算過程!A51</f>
        <v>#VALUE!</v>
      </c>
      <c r="B1043" s="36" t="e">
        <f>計算過程!B51</f>
        <v>#VALUE!</v>
      </c>
      <c r="C1043" s="149" t="e">
        <f>計算過程!C51</f>
        <v>#VALUE!</v>
      </c>
      <c r="D1043" s="43" t="e">
        <f>計算過程!D51</f>
        <v>#VALUE!</v>
      </c>
      <c r="E1043" s="43" t="e">
        <f>計算過程!E51</f>
        <v>#VALUE!</v>
      </c>
      <c r="F1043" s="43" t="e">
        <f>計算過程!F51</f>
        <v>#VALUE!</v>
      </c>
      <c r="G1043" s="43" t="e">
        <f>計算過程!G51</f>
        <v>#VALUE!</v>
      </c>
      <c r="H1043" s="43" t="e">
        <f>計算過程!H51</f>
        <v>#VALUE!</v>
      </c>
      <c r="I1043" s="44" t="e">
        <f>計算過程!I51</f>
        <v>#VALUE!</v>
      </c>
      <c r="J1043" s="43" t="e">
        <f>計算過程!J51</f>
        <v>#VALUE!</v>
      </c>
      <c r="K1043" s="43" t="e">
        <f>計算過程!K51</f>
        <v>#VALUE!</v>
      </c>
      <c r="L1043" s="43" t="e">
        <f>計算過程!L51</f>
        <v>#VALUE!</v>
      </c>
      <c r="M1043" s="2"/>
      <c r="N1043" s="2"/>
      <c r="O1043" s="2"/>
      <c r="P1043" s="2"/>
      <c r="Q1043" s="2"/>
    </row>
    <row r="1044" spans="1:17" hidden="1" x14ac:dyDescent="0.25">
      <c r="A1044" s="150" t="e">
        <f>計算過程!A52</f>
        <v>#VALUE!</v>
      </c>
      <c r="B1044" s="36" t="e">
        <f>計算過程!B52</f>
        <v>#VALUE!</v>
      </c>
      <c r="C1044" s="149" t="e">
        <f>計算過程!C52</f>
        <v>#VALUE!</v>
      </c>
      <c r="D1044" s="43" t="e">
        <f>計算過程!D52</f>
        <v>#VALUE!</v>
      </c>
      <c r="E1044" s="43" t="e">
        <f>計算過程!E52</f>
        <v>#VALUE!</v>
      </c>
      <c r="F1044" s="43" t="e">
        <f>計算過程!F52</f>
        <v>#VALUE!</v>
      </c>
      <c r="G1044" s="43" t="e">
        <f>計算過程!G52</f>
        <v>#VALUE!</v>
      </c>
      <c r="H1044" s="43" t="e">
        <f>計算過程!H52</f>
        <v>#VALUE!</v>
      </c>
      <c r="I1044" s="44" t="e">
        <f>計算過程!I52</f>
        <v>#VALUE!</v>
      </c>
      <c r="J1044" s="43" t="e">
        <f>計算過程!J52</f>
        <v>#VALUE!</v>
      </c>
      <c r="K1044" s="43" t="e">
        <f>計算過程!K52</f>
        <v>#VALUE!</v>
      </c>
      <c r="L1044" s="43" t="e">
        <f>計算過程!L52</f>
        <v>#VALUE!</v>
      </c>
      <c r="M1044" s="2"/>
      <c r="N1044" s="2"/>
      <c r="O1044" s="2"/>
      <c r="P1044" s="2"/>
      <c r="Q1044" s="2"/>
    </row>
    <row r="1045" spans="1:17" hidden="1" x14ac:dyDescent="0.25">
      <c r="A1045" s="150" t="e">
        <f>計算過程!A53</f>
        <v>#VALUE!</v>
      </c>
      <c r="B1045" s="36" t="e">
        <f>計算過程!B53</f>
        <v>#VALUE!</v>
      </c>
      <c r="C1045" s="149" t="e">
        <f>計算過程!C53</f>
        <v>#VALUE!</v>
      </c>
      <c r="D1045" s="43" t="e">
        <f>計算過程!D53</f>
        <v>#VALUE!</v>
      </c>
      <c r="E1045" s="43" t="e">
        <f>計算過程!E53</f>
        <v>#VALUE!</v>
      </c>
      <c r="F1045" s="43" t="e">
        <f>計算過程!F53</f>
        <v>#VALUE!</v>
      </c>
      <c r="G1045" s="43" t="e">
        <f>計算過程!G53</f>
        <v>#VALUE!</v>
      </c>
      <c r="H1045" s="43" t="e">
        <f>計算過程!H53</f>
        <v>#VALUE!</v>
      </c>
      <c r="I1045" s="44" t="e">
        <f>計算過程!I53</f>
        <v>#VALUE!</v>
      </c>
      <c r="J1045" s="43" t="e">
        <f>計算過程!J53</f>
        <v>#VALUE!</v>
      </c>
      <c r="K1045" s="43" t="e">
        <f>計算過程!K53</f>
        <v>#VALUE!</v>
      </c>
      <c r="L1045" s="43" t="e">
        <f>計算過程!L53</f>
        <v>#VALUE!</v>
      </c>
      <c r="M1045" s="2"/>
      <c r="N1045" s="2"/>
      <c r="O1045" s="2"/>
      <c r="P1045" s="2"/>
      <c r="Q1045" s="2"/>
    </row>
    <row r="1046" spans="1:17" hidden="1" x14ac:dyDescent="0.25">
      <c r="A1046" s="150" t="e">
        <f>計算過程!A54</f>
        <v>#VALUE!</v>
      </c>
      <c r="B1046" s="36" t="e">
        <f>計算過程!B54</f>
        <v>#VALUE!</v>
      </c>
      <c r="C1046" s="149" t="e">
        <f>計算過程!C54</f>
        <v>#VALUE!</v>
      </c>
      <c r="D1046" s="43" t="e">
        <f>計算過程!D54</f>
        <v>#VALUE!</v>
      </c>
      <c r="E1046" s="43" t="e">
        <f>計算過程!E54</f>
        <v>#VALUE!</v>
      </c>
      <c r="F1046" s="43" t="e">
        <f>計算過程!F54</f>
        <v>#VALUE!</v>
      </c>
      <c r="G1046" s="43" t="e">
        <f>計算過程!G54</f>
        <v>#VALUE!</v>
      </c>
      <c r="H1046" s="43" t="e">
        <f>計算過程!H54</f>
        <v>#VALUE!</v>
      </c>
      <c r="I1046" s="44" t="e">
        <f>計算過程!I54</f>
        <v>#VALUE!</v>
      </c>
      <c r="J1046" s="43" t="e">
        <f>計算過程!J54</f>
        <v>#VALUE!</v>
      </c>
      <c r="K1046" s="43" t="e">
        <f>計算過程!K54</f>
        <v>#VALUE!</v>
      </c>
      <c r="L1046" s="43" t="e">
        <f>計算過程!L54</f>
        <v>#VALUE!</v>
      </c>
      <c r="M1046" s="2"/>
      <c r="N1046" s="2"/>
      <c r="O1046" s="2"/>
      <c r="P1046" s="2"/>
      <c r="Q1046" s="2"/>
    </row>
    <row r="1047" spans="1:17" hidden="1" x14ac:dyDescent="0.25">
      <c r="A1047" s="150" t="e">
        <f>計算過程!A55</f>
        <v>#VALUE!</v>
      </c>
      <c r="B1047" s="36" t="e">
        <f>計算過程!B55</f>
        <v>#VALUE!</v>
      </c>
      <c r="C1047" s="149" t="e">
        <f>計算過程!C55</f>
        <v>#VALUE!</v>
      </c>
      <c r="D1047" s="43" t="e">
        <f>計算過程!D55</f>
        <v>#VALUE!</v>
      </c>
      <c r="E1047" s="43" t="e">
        <f>計算過程!E55</f>
        <v>#VALUE!</v>
      </c>
      <c r="F1047" s="43" t="e">
        <f>計算過程!F55</f>
        <v>#VALUE!</v>
      </c>
      <c r="G1047" s="43" t="e">
        <f>計算過程!G55</f>
        <v>#VALUE!</v>
      </c>
      <c r="H1047" s="43" t="e">
        <f>計算過程!H55</f>
        <v>#VALUE!</v>
      </c>
      <c r="I1047" s="44" t="e">
        <f>計算過程!I55</f>
        <v>#VALUE!</v>
      </c>
      <c r="J1047" s="43" t="e">
        <f>計算過程!J55</f>
        <v>#VALUE!</v>
      </c>
      <c r="K1047" s="43" t="e">
        <f>計算過程!K55</f>
        <v>#VALUE!</v>
      </c>
      <c r="L1047" s="43" t="e">
        <f>計算過程!L55</f>
        <v>#VALUE!</v>
      </c>
      <c r="M1047" s="2"/>
      <c r="N1047" s="2"/>
      <c r="O1047" s="2"/>
      <c r="P1047" s="2"/>
      <c r="Q1047" s="2"/>
    </row>
    <row r="1048" spans="1:17" hidden="1" x14ac:dyDescent="0.25">
      <c r="A1048" s="150" t="e">
        <f>計算過程!A56</f>
        <v>#VALUE!</v>
      </c>
      <c r="B1048" s="36" t="e">
        <f>計算過程!B56</f>
        <v>#VALUE!</v>
      </c>
      <c r="C1048" s="149" t="e">
        <f>計算過程!C56</f>
        <v>#VALUE!</v>
      </c>
      <c r="D1048" s="43" t="e">
        <f>計算過程!D56</f>
        <v>#VALUE!</v>
      </c>
      <c r="E1048" s="43" t="e">
        <f>計算過程!E56</f>
        <v>#VALUE!</v>
      </c>
      <c r="F1048" s="43" t="e">
        <f>計算過程!F56</f>
        <v>#VALUE!</v>
      </c>
      <c r="G1048" s="43" t="e">
        <f>計算過程!G56</f>
        <v>#VALUE!</v>
      </c>
      <c r="H1048" s="43" t="e">
        <f>計算過程!H56</f>
        <v>#VALUE!</v>
      </c>
      <c r="I1048" s="44" t="e">
        <f>計算過程!I56</f>
        <v>#VALUE!</v>
      </c>
      <c r="J1048" s="43" t="e">
        <f>計算過程!J56</f>
        <v>#VALUE!</v>
      </c>
      <c r="K1048" s="43" t="e">
        <f>計算過程!K56</f>
        <v>#VALUE!</v>
      </c>
      <c r="L1048" s="43" t="e">
        <f>計算過程!L56</f>
        <v>#VALUE!</v>
      </c>
      <c r="M1048" s="2"/>
      <c r="N1048" s="2"/>
      <c r="O1048" s="2"/>
      <c r="P1048" s="2"/>
      <c r="Q1048" s="2"/>
    </row>
    <row r="1049" spans="1:17" hidden="1" x14ac:dyDescent="0.25">
      <c r="A1049" s="150" t="e">
        <f>計算過程!A57</f>
        <v>#VALUE!</v>
      </c>
      <c r="B1049" s="36" t="e">
        <f>計算過程!B57</f>
        <v>#VALUE!</v>
      </c>
      <c r="C1049" s="149" t="e">
        <f>計算過程!C57</f>
        <v>#VALUE!</v>
      </c>
      <c r="D1049" s="43" t="e">
        <f>計算過程!D57</f>
        <v>#VALUE!</v>
      </c>
      <c r="E1049" s="43" t="e">
        <f>計算過程!E57</f>
        <v>#VALUE!</v>
      </c>
      <c r="F1049" s="43" t="e">
        <f>計算過程!F57</f>
        <v>#VALUE!</v>
      </c>
      <c r="G1049" s="43" t="e">
        <f>計算過程!G57</f>
        <v>#VALUE!</v>
      </c>
      <c r="H1049" s="43" t="e">
        <f>計算過程!H57</f>
        <v>#VALUE!</v>
      </c>
      <c r="I1049" s="44" t="e">
        <f>計算過程!I57</f>
        <v>#VALUE!</v>
      </c>
      <c r="J1049" s="43" t="e">
        <f>計算過程!J57</f>
        <v>#VALUE!</v>
      </c>
      <c r="K1049" s="43" t="e">
        <f>計算過程!K57</f>
        <v>#VALUE!</v>
      </c>
      <c r="L1049" s="43" t="e">
        <f>計算過程!L57</f>
        <v>#VALUE!</v>
      </c>
      <c r="M1049" s="2"/>
      <c r="N1049" s="2"/>
      <c r="O1049" s="2"/>
      <c r="P1049" s="2"/>
      <c r="Q1049" s="2"/>
    </row>
    <row r="1050" spans="1:17" hidden="1" x14ac:dyDescent="0.25">
      <c r="A1050" s="150" t="e">
        <f>計算過程!A58</f>
        <v>#VALUE!</v>
      </c>
      <c r="B1050" s="36" t="e">
        <f>計算過程!B58</f>
        <v>#VALUE!</v>
      </c>
      <c r="C1050" s="149" t="e">
        <f>計算過程!C58</f>
        <v>#VALUE!</v>
      </c>
      <c r="D1050" s="43" t="e">
        <f>計算過程!D58</f>
        <v>#VALUE!</v>
      </c>
      <c r="E1050" s="43" t="e">
        <f>計算過程!E58</f>
        <v>#VALUE!</v>
      </c>
      <c r="F1050" s="43" t="e">
        <f>計算過程!F58</f>
        <v>#VALUE!</v>
      </c>
      <c r="G1050" s="43" t="e">
        <f>計算過程!G58</f>
        <v>#VALUE!</v>
      </c>
      <c r="H1050" s="43" t="e">
        <f>計算過程!H58</f>
        <v>#VALUE!</v>
      </c>
      <c r="I1050" s="44" t="e">
        <f>計算過程!I58</f>
        <v>#VALUE!</v>
      </c>
      <c r="J1050" s="43" t="e">
        <f>計算過程!J58</f>
        <v>#VALUE!</v>
      </c>
      <c r="K1050" s="43" t="e">
        <f>計算過程!K58</f>
        <v>#VALUE!</v>
      </c>
      <c r="L1050" s="43" t="e">
        <f>計算過程!L58</f>
        <v>#VALUE!</v>
      </c>
      <c r="M1050" s="2"/>
      <c r="N1050" s="2"/>
      <c r="O1050" s="2"/>
      <c r="P1050" s="2"/>
      <c r="Q1050" s="2"/>
    </row>
    <row r="1051" spans="1:17" hidden="1" x14ac:dyDescent="0.25">
      <c r="A1051" s="150" t="e">
        <f>計算過程!A59</f>
        <v>#VALUE!</v>
      </c>
      <c r="B1051" s="36" t="e">
        <f>計算過程!B59</f>
        <v>#VALUE!</v>
      </c>
      <c r="C1051" s="149" t="e">
        <f>計算過程!C59</f>
        <v>#VALUE!</v>
      </c>
      <c r="D1051" s="43" t="e">
        <f>計算過程!D59</f>
        <v>#VALUE!</v>
      </c>
      <c r="E1051" s="43" t="e">
        <f>計算過程!E59</f>
        <v>#VALUE!</v>
      </c>
      <c r="F1051" s="43" t="e">
        <f>計算過程!F59</f>
        <v>#VALUE!</v>
      </c>
      <c r="G1051" s="43" t="e">
        <f>計算過程!G59</f>
        <v>#VALUE!</v>
      </c>
      <c r="H1051" s="43" t="e">
        <f>計算過程!H59</f>
        <v>#VALUE!</v>
      </c>
      <c r="I1051" s="44" t="e">
        <f>計算過程!I59</f>
        <v>#VALUE!</v>
      </c>
      <c r="J1051" s="43" t="e">
        <f>計算過程!J59</f>
        <v>#VALUE!</v>
      </c>
      <c r="K1051" s="43" t="e">
        <f>計算過程!K59</f>
        <v>#VALUE!</v>
      </c>
      <c r="L1051" s="43" t="e">
        <f>計算過程!L59</f>
        <v>#VALUE!</v>
      </c>
      <c r="M1051" s="2"/>
      <c r="N1051" s="2"/>
      <c r="O1051" s="2"/>
      <c r="P1051" s="2"/>
      <c r="Q1051" s="2"/>
    </row>
    <row r="1052" spans="1:17" hidden="1" x14ac:dyDescent="0.25">
      <c r="A1052" s="150" t="e">
        <f>計算過程!A60</f>
        <v>#VALUE!</v>
      </c>
      <c r="B1052" s="36" t="e">
        <f>計算過程!B60</f>
        <v>#VALUE!</v>
      </c>
      <c r="C1052" s="149" t="e">
        <f>計算過程!C60</f>
        <v>#VALUE!</v>
      </c>
      <c r="D1052" s="43" t="e">
        <f>計算過程!D60</f>
        <v>#VALUE!</v>
      </c>
      <c r="E1052" s="43" t="e">
        <f>計算過程!E60</f>
        <v>#VALUE!</v>
      </c>
      <c r="F1052" s="43" t="e">
        <f>計算過程!F60</f>
        <v>#VALUE!</v>
      </c>
      <c r="G1052" s="43" t="e">
        <f>計算過程!G60</f>
        <v>#VALUE!</v>
      </c>
      <c r="H1052" s="43" t="e">
        <f>計算過程!H60</f>
        <v>#VALUE!</v>
      </c>
      <c r="I1052" s="44" t="e">
        <f>計算過程!I60</f>
        <v>#VALUE!</v>
      </c>
      <c r="J1052" s="43" t="e">
        <f>計算過程!J60</f>
        <v>#VALUE!</v>
      </c>
      <c r="K1052" s="43" t="e">
        <f>計算過程!K60</f>
        <v>#VALUE!</v>
      </c>
      <c r="L1052" s="43" t="e">
        <f>計算過程!L60</f>
        <v>#VALUE!</v>
      </c>
      <c r="M1052" s="2"/>
      <c r="N1052" s="2"/>
      <c r="O1052" s="2"/>
      <c r="P1052" s="2"/>
      <c r="Q1052" s="2"/>
    </row>
    <row r="1053" spans="1:17" hidden="1" x14ac:dyDescent="0.25">
      <c r="A1053" s="150" t="e">
        <f>計算過程!A61</f>
        <v>#VALUE!</v>
      </c>
      <c r="B1053" s="36" t="e">
        <f>計算過程!B61</f>
        <v>#VALUE!</v>
      </c>
      <c r="C1053" s="149" t="e">
        <f>計算過程!C61</f>
        <v>#VALUE!</v>
      </c>
      <c r="D1053" s="43" t="e">
        <f>計算過程!D61</f>
        <v>#VALUE!</v>
      </c>
      <c r="E1053" s="43" t="e">
        <f>計算過程!E61</f>
        <v>#VALUE!</v>
      </c>
      <c r="F1053" s="43" t="e">
        <f>計算過程!F61</f>
        <v>#VALUE!</v>
      </c>
      <c r="G1053" s="43" t="e">
        <f>計算過程!G61</f>
        <v>#VALUE!</v>
      </c>
      <c r="H1053" s="43" t="e">
        <f>計算過程!H61</f>
        <v>#VALUE!</v>
      </c>
      <c r="I1053" s="44" t="e">
        <f>計算過程!I61</f>
        <v>#VALUE!</v>
      </c>
      <c r="J1053" s="43" t="e">
        <f>計算過程!J61</f>
        <v>#VALUE!</v>
      </c>
      <c r="K1053" s="43" t="e">
        <f>計算過程!K61</f>
        <v>#VALUE!</v>
      </c>
      <c r="L1053" s="43" t="e">
        <f>計算過程!L61</f>
        <v>#VALUE!</v>
      </c>
      <c r="M1053" s="2"/>
      <c r="N1053" s="2"/>
      <c r="O1053" s="2"/>
      <c r="P1053" s="2"/>
      <c r="Q1053" s="2"/>
    </row>
    <row r="1054" spans="1:17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  <row r="1083" spans="1:17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</row>
    <row r="1084" spans="1:17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</row>
    <row r="1085" spans="1:17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</row>
    <row r="1086" spans="1:17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</row>
    <row r="1087" spans="1:17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</row>
    <row r="1088" spans="1:17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</row>
    <row r="1089" spans="1:17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</row>
    <row r="1090" spans="1:17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</row>
    <row r="1091" spans="1:17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</row>
    <row r="1092" spans="1:17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</row>
    <row r="1093" spans="1:17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</row>
    <row r="1094" spans="1:17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</row>
    <row r="1095" spans="1:17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</row>
    <row r="1096" spans="1:17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</row>
    <row r="1097" spans="1:17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</row>
    <row r="1098" spans="1:17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</row>
    <row r="1099" spans="1:17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</row>
    <row r="1100" spans="1:17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</row>
    <row r="1101" spans="1:17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</row>
    <row r="1102" spans="1:17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</row>
    <row r="1103" spans="1:17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</row>
    <row r="1104" spans="1:17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</row>
    <row r="1105" spans="1:17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</row>
    <row r="1106" spans="1:17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</row>
    <row r="1107" spans="1:17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</row>
    <row r="1108" spans="1:17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</row>
    <row r="1109" spans="1:17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</row>
    <row r="1110" spans="1:17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</row>
  </sheetData>
  <sheetProtection algorithmName="SHA-512" hashValue="8M/LjaJGAM/Fouy1+igd3ijxsVDCIZWw+bQs8FLX+2IxEAtf44DzvK3vS9WicRzxT41d3IjeQmWBCcOr0B8H4Q==" saltValue="0P6I1m182kaNjl9wBtP89w==" spinCount="100000" sheet="1" objects="1" scenarios="1" selectLockedCells="1"/>
  <mergeCells count="20">
    <mergeCell ref="I1031:L1031"/>
    <mergeCell ref="E1002:G1002"/>
    <mergeCell ref="A8:A9"/>
    <mergeCell ref="E8:G8"/>
    <mergeCell ref="E1005:F1005"/>
    <mergeCell ref="E1006:F1006"/>
    <mergeCell ref="B8:D8"/>
    <mergeCell ref="A21:G21"/>
    <mergeCell ref="B22:G22"/>
    <mergeCell ref="B23:G23"/>
    <mergeCell ref="B24:G24"/>
    <mergeCell ref="A1010:B1010"/>
    <mergeCell ref="A1011:B1011"/>
    <mergeCell ref="A1031:A1032"/>
    <mergeCell ref="B1031:B1032"/>
    <mergeCell ref="C1031:C1032"/>
    <mergeCell ref="A27:G27"/>
    <mergeCell ref="A1:C1"/>
    <mergeCell ref="D1031:D1032"/>
    <mergeCell ref="E1031:H1031"/>
  </mergeCells>
  <phoneticPr fontId="1" type="noConversion"/>
  <conditionalFormatting sqref="C1013:C1026">
    <cfRule type="expression" dxfId="58" priority="5">
      <formula>IF($B$1008="是",1,IF($B$1002&lt;=108,5,IF($B$1002&gt;=118,15,$B$1002-103)))&gt;=G1013</formula>
    </cfRule>
  </conditionalFormatting>
  <conditionalFormatting sqref="C1014:C1026">
    <cfRule type="expression" dxfId="57" priority="4">
      <formula>IF($C$5="是",1,IF($C$10&lt;=108,5,IF($C$10&gt;=118,15,$C$10-103)))&gt;=G1014</formula>
    </cfRule>
  </conditionalFormatting>
  <conditionalFormatting sqref="F1023">
    <cfRule type="expression" dxfId="56" priority="3">
      <formula>$C$5="是"</formula>
    </cfRule>
  </conditionalFormatting>
  <conditionalFormatting sqref="E1023">
    <cfRule type="expression" dxfId="55" priority="2">
      <formula>$C$5="是"</formula>
    </cfRule>
  </conditionalFormatting>
  <dataValidations count="5">
    <dataValidation type="list" allowBlank="1" showInputMessage="1" showErrorMessage="1" sqref="B2:B3">
      <formula1>"中等以下教師,其他"</formula1>
    </dataValidation>
    <dataValidation type="list" allowBlank="1" showInputMessage="1" showErrorMessage="1" sqref="C5:C7 C10:C19 F10:F19">
      <formula1>"1,2,3,4,5,6,7,8,9,10,11,12"</formula1>
    </dataValidation>
    <dataValidation type="list" allowBlank="1" showInputMessage="1" showErrorMessage="1" sqref="F1008">
      <formula1>"否,展期,減額"</formula1>
    </dataValidation>
    <dataValidation type="list" allowBlank="1" showInputMessage="1" showErrorMessage="1" sqref="G1005">
      <formula1>"月補償金,一次請領"</formula1>
    </dataValidation>
    <dataValidation type="list" allowBlank="1" showInputMessage="1" showErrorMessage="1" sqref="B1008 H1008 G1006">
      <formula1>"是,否"</formula1>
    </dataValidation>
  </dataValidations>
  <pageMargins left="0.23622047244094491" right="0.23622047244094491" top="0.19685039370078741" bottom="0.19685039370078741" header="0.31496062992125984" footer="0.31496062992125984"/>
  <pageSetup paperSize="8" orientation="portrait" r:id="rId1"/>
  <ignoredErrors>
    <ignoredError sqref="B22:G2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Button 13">
              <controlPr defaultSize="0" print="0" autoFill="0" autoPict="0" macro="[0]!Income">
                <anchor moveWithCells="1" sizeWithCells="1">
                  <from>
                    <xdr:col>7</xdr:col>
                    <xdr:colOff>190500</xdr:colOff>
                    <xdr:row>1019</xdr:row>
                    <xdr:rowOff>114300</xdr:rowOff>
                  </from>
                  <to>
                    <xdr:col>8</xdr:col>
                    <xdr:colOff>590550</xdr:colOff>
                    <xdr:row>1025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Button 14">
              <controlPr defaultSize="0" print="0" autoFill="0" autoPict="0" macro="[0]!Income_Increase">
                <anchor moveWithCells="1" sizeWithCells="1">
                  <from>
                    <xdr:col>9</xdr:col>
                    <xdr:colOff>238125</xdr:colOff>
                    <xdr:row>1019</xdr:row>
                    <xdr:rowOff>104775</xdr:rowOff>
                  </from>
                  <to>
                    <xdr:col>10</xdr:col>
                    <xdr:colOff>609600</xdr:colOff>
                    <xdr:row>1025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1956B4F-743E-443D-AB77-A8995B58852E}">
            <xm:f>C1012&gt;計算過程!$E$3</xm:f>
            <x14:dxf>
              <font>
                <color rgb="FFFF0000"/>
              </font>
            </x14:dxf>
          </x14:cfRule>
          <xm:sqref>C1012:C1026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參照表!$H$4:$H$34</xm:f>
          </x14:formula1>
          <xm:sqref>D1008</xm:sqref>
        </x14:dataValidation>
        <x14:dataValidation type="list" allowBlank="1" showInputMessage="1" showErrorMessage="1">
          <x14:formula1>
            <xm:f>IF(I10=30,參照表!$N$31:$N$60,IF(I10=29,參照表!$N$31:$N$59,IF(I10=28,參照表!$N$31:$N$58,參照表!$N$31:$N$61)))</xm:f>
          </x14:formula1>
          <xm:sqref>G10:G19</xm:sqref>
        </x14:dataValidation>
        <x14:dataValidation type="list" allowBlank="1" showInputMessage="1" showErrorMessage="1">
          <x14:formula1>
            <xm:f>IF(EA5=30,參照表!$N$31:$N$60,IF(EA5=29,參照表!$N$31:$N$59,IF(EA5=28,參照表!$N$31:$N$58,參照表!$N$31:$N$61)))</xm:f>
          </x14:formula1>
          <xm:sqref>D5:D7</xm:sqref>
        </x14:dataValidation>
        <x14:dataValidation type="list" allowBlank="1" showInputMessage="1" showErrorMessage="1">
          <x14:formula1>
            <xm:f>IF($B$2="中等以下教師",參照表!$L$4:$L$6,參照表!$L$4:$L$12)</xm:f>
          </x14:formula1>
          <xm:sqref>D1:D3</xm:sqref>
        </x14:dataValidation>
        <x14:dataValidation type="list" allowBlank="1" showInputMessage="1" showErrorMessage="1">
          <x14:formula1>
            <xm:f>IF(EA10=30,參照表!$N$31:$N$60,IF(EA10=29,參照表!$N$31:$N$59,IF(EA10=28,參照表!$N$31:$N$58,參照表!$N$31:$N$61)))</xm:f>
          </x14:formula1>
          <xm:sqref>D10:D19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tabColor theme="7" tint="0.59999389629810485"/>
  </sheetPr>
  <dimension ref="A1:BH1009"/>
  <sheetViews>
    <sheetView workbookViewId="0">
      <pane ySplit="3" topLeftCell="A4" activePane="bottomLeft" state="frozen"/>
      <selection pane="bottomLeft" activeCell="I18" sqref="I18"/>
    </sheetView>
  </sheetViews>
  <sheetFormatPr defaultRowHeight="16.5" x14ac:dyDescent="0.25"/>
  <cols>
    <col min="1" max="7" width="4.875" style="188" customWidth="1"/>
    <col min="8" max="8" width="14.5" style="188" customWidth="1"/>
    <col min="9" max="11" width="12.5" style="188" customWidth="1"/>
    <col min="12" max="12" width="14.875" style="188" customWidth="1"/>
    <col min="13" max="19" width="4.875" style="188" hidden="1" customWidth="1"/>
    <col min="20" max="20" width="14.5" style="188" hidden="1" customWidth="1"/>
    <col min="21" max="23" width="12.5" style="188" hidden="1" customWidth="1"/>
    <col min="24" max="24" width="16" style="188" hidden="1" customWidth="1"/>
    <col min="25" max="31" width="4.875" style="188" hidden="1" customWidth="1"/>
    <col min="32" max="32" width="14.5" style="188" hidden="1" customWidth="1"/>
    <col min="33" max="35" width="12.5" style="188" hidden="1" customWidth="1"/>
    <col min="36" max="36" width="16" style="188" hidden="1" customWidth="1"/>
    <col min="37" max="37" width="4.875" style="188" hidden="1" customWidth="1"/>
    <col min="38" max="38" width="5.25" style="188" hidden="1" customWidth="1"/>
    <col min="39" max="41" width="3.75" style="188" hidden="1" customWidth="1"/>
    <col min="42" max="44" width="11.875" style="188" hidden="1" customWidth="1"/>
    <col min="45" max="45" width="12.25" style="188" hidden="1" customWidth="1"/>
    <col min="46" max="46" width="6.125" style="188" hidden="1" customWidth="1"/>
    <col min="47" max="47" width="9" style="188" hidden="1" customWidth="1"/>
    <col min="48" max="48" width="5.75" style="188" hidden="1" customWidth="1"/>
    <col min="49" max="52" width="6.125" style="188" hidden="1" customWidth="1"/>
    <col min="53" max="54" width="9.625" style="188" hidden="1" customWidth="1"/>
    <col min="55" max="55" width="5.75" style="188" hidden="1" customWidth="1"/>
    <col min="56" max="58" width="8.75" style="188" hidden="1" customWidth="1"/>
    <col min="59" max="59" width="7.25" style="188" hidden="1" customWidth="1"/>
    <col min="60" max="60" width="12.5" style="188" hidden="1" customWidth="1"/>
    <col min="61" max="61" width="9" style="188" customWidth="1"/>
    <col min="62" max="16384" width="9" style="188"/>
  </cols>
  <sheetData>
    <row r="1" spans="1:60" ht="47.25" customHeight="1" x14ac:dyDescent="0.25">
      <c r="A1" s="300" t="s">
        <v>221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275"/>
      <c r="N1" s="189" t="s">
        <v>11</v>
      </c>
      <c r="O1" s="189" t="s">
        <v>158</v>
      </c>
      <c r="P1" s="189" t="s">
        <v>159</v>
      </c>
      <c r="Q1" s="190" t="s">
        <v>167</v>
      </c>
      <c r="R1" s="190" t="s">
        <v>7</v>
      </c>
      <c r="S1" s="190" t="s">
        <v>11</v>
      </c>
      <c r="T1" s="276"/>
      <c r="U1" s="277"/>
      <c r="V1" s="273"/>
      <c r="W1" s="191" t="s">
        <v>182</v>
      </c>
      <c r="X1" s="192" t="s">
        <v>205</v>
      </c>
      <c r="Y1" s="275"/>
      <c r="Z1" s="189" t="s">
        <v>11</v>
      </c>
      <c r="AA1" s="189" t="s">
        <v>158</v>
      </c>
      <c r="AB1" s="189" t="s">
        <v>159</v>
      </c>
      <c r="AC1" s="190" t="s">
        <v>167</v>
      </c>
      <c r="AD1" s="190" t="s">
        <v>7</v>
      </c>
      <c r="AE1" s="190" t="s">
        <v>11</v>
      </c>
      <c r="AF1" s="276"/>
      <c r="AG1" s="277"/>
      <c r="AH1" s="273"/>
      <c r="AI1" s="191" t="s">
        <v>182</v>
      </c>
      <c r="AJ1" s="192" t="s">
        <v>205</v>
      </c>
      <c r="AK1" s="275"/>
      <c r="AL1" s="275"/>
      <c r="AM1" s="269" t="s">
        <v>0</v>
      </c>
      <c r="AN1" s="192" t="s">
        <v>1</v>
      </c>
      <c r="AO1" s="192" t="s">
        <v>151</v>
      </c>
      <c r="AP1" s="275"/>
      <c r="AQ1" s="275"/>
      <c r="AR1" s="275"/>
      <c r="AS1" s="275"/>
      <c r="AT1" s="193" t="s">
        <v>168</v>
      </c>
      <c r="AU1" s="193" t="s">
        <v>169</v>
      </c>
      <c r="AV1" s="194" t="s">
        <v>163</v>
      </c>
      <c r="AW1" s="195" t="s">
        <v>170</v>
      </c>
      <c r="AX1" s="195" t="s">
        <v>171</v>
      </c>
      <c r="AY1" s="196" t="s">
        <v>172</v>
      </c>
      <c r="AZ1" s="197" t="s">
        <v>173</v>
      </c>
      <c r="BA1" s="198" t="s">
        <v>164</v>
      </c>
      <c r="BB1" s="199" t="s">
        <v>165</v>
      </c>
      <c r="BC1" s="200" t="s">
        <v>162</v>
      </c>
      <c r="BD1" s="201" t="s">
        <v>124</v>
      </c>
      <c r="BE1" s="201" t="s">
        <v>125</v>
      </c>
      <c r="BF1" s="201" t="s">
        <v>126</v>
      </c>
      <c r="BG1" s="191" t="s">
        <v>177</v>
      </c>
      <c r="BH1" s="191" t="s">
        <v>183</v>
      </c>
    </row>
    <row r="2" spans="1:60" x14ac:dyDescent="0.25">
      <c r="A2" s="308" t="s">
        <v>123</v>
      </c>
      <c r="B2" s="310" t="s">
        <v>166</v>
      </c>
      <c r="C2" s="311"/>
      <c r="D2" s="312"/>
      <c r="E2" s="313" t="s">
        <v>160</v>
      </c>
      <c r="F2" s="314"/>
      <c r="G2" s="315"/>
      <c r="H2" s="316" t="s">
        <v>14</v>
      </c>
      <c r="I2" s="318" t="s">
        <v>222</v>
      </c>
      <c r="J2" s="305" t="s">
        <v>204</v>
      </c>
      <c r="K2" s="300" t="s">
        <v>223</v>
      </c>
      <c r="L2" s="307"/>
      <c r="M2" s="216">
        <f>IF(最早可退休日期!$D$2="職員",Y2,Y4)</f>
        <v>107</v>
      </c>
      <c r="N2" s="203">
        <f>IF(最早可退休日期!$D$2="職員",Z2,Z4)</f>
        <v>76</v>
      </c>
      <c r="O2" s="203">
        <f>IF(最早可退休日期!$D$2="職員",AA2,AA4)</f>
        <v>58</v>
      </c>
      <c r="P2" s="203">
        <f>IF(最早可退休日期!$D$2="職員",AB2,AB4)</f>
        <v>50</v>
      </c>
      <c r="Q2" s="203">
        <f>IF(最早可退休日期!$D$2="職員",AC2,AC4)</f>
        <v>107</v>
      </c>
      <c r="R2" s="203" t="e">
        <f>IF(最早可退休日期!$D$2="職員",AD2,AD4)</f>
        <v>#VALUE!</v>
      </c>
      <c r="S2" s="203" t="e">
        <f>IF(最早可退休日期!$D$2="職員",AE2,AE4)</f>
        <v>#VALUE!</v>
      </c>
      <c r="T2" s="204" t="str">
        <f>IF(最早可退休日期!$D$2="職員",AF2,AF4)</f>
        <v>107年8月1日</v>
      </c>
      <c r="U2" s="205" t="e">
        <f>IF(最早可退休日期!$D$2="職員",AG2,AG4)</f>
        <v>#VALUE!</v>
      </c>
      <c r="V2" s="205" t="e">
        <f>IF(最早可退休日期!$D$2="職員",AH2,AH4)</f>
        <v>#VALUE!</v>
      </c>
      <c r="W2" s="206" t="e">
        <f>IF(最早可退休日期!$D$2="職員",AI2,AI4)</f>
        <v>#VALUE!</v>
      </c>
      <c r="X2" s="207" t="e">
        <f>IF(最早可退休日期!$D$2="職員",AJ2,AJ4)</f>
        <v>#VALUE!</v>
      </c>
      <c r="Y2" s="202">
        <f t="shared" ref="Y2:Y33" si="0">(YEAR(AS2)&amp;"")-1911</f>
        <v>107</v>
      </c>
      <c r="Z2" s="203">
        <f>IF(Y2&gt;=122,"無",IF(AS2&lt;DATEVALUE("2018/6/30"),75,VLOOKUP(Y2,Index,2,0)))</f>
        <v>76</v>
      </c>
      <c r="AA2" s="203">
        <f>IF(最早退休日期!$B$1="中等以下教師",58,IF(Y2&gt;=122,65,IF(Y2&lt;107,50,VLOOKUP(Y2,Legal_Year,3,0))))</f>
        <v>58</v>
      </c>
      <c r="AB2" s="203">
        <f t="shared" ref="AB2" si="1">IF(Y2&lt;=115,50,55)</f>
        <v>50</v>
      </c>
      <c r="AC2" s="203">
        <f t="shared" ref="AC2:AC33" si="2">IF(OR(MONTH(AS2)&lt;$AA$1000,AND(MONTH(AS2)=$AA$1000,DAY(AS2)&lt;$AB$1000)),Y2-1,Y2)-$Z$1000</f>
        <v>107</v>
      </c>
      <c r="AD2" s="203" t="e">
        <f t="shared" ref="AD2:AD33" si="3">IF(AS2&gt;=AR2,AL2,AL2-1)</f>
        <v>#VALUE!</v>
      </c>
      <c r="AE2" s="203" t="e">
        <f t="shared" ref="AE2" si="4">AC2+AD2</f>
        <v>#VALUE!</v>
      </c>
      <c r="AF2" s="204" t="str">
        <f t="shared" ref="AF2:AF33" si="5">CONCATENATE((YEAR(AS2)&amp;"")-1911,"年",MONTH(AS2),"月",DAY(AS2),"日")</f>
        <v>107年7月1日</v>
      </c>
      <c r="AG2" s="205" t="e">
        <f t="shared" ref="AG2:AG33" si="6">IF(BD2="","","O")</f>
        <v>#VALUE!</v>
      </c>
      <c r="AH2" s="205" t="e">
        <f t="shared" ref="AH2:AH33" si="7">IF(BE2="","","O")</f>
        <v>#VALUE!</v>
      </c>
      <c r="AI2" s="206" t="e">
        <f t="shared" ref="AI2:AI33" si="8">IF(BF2="","","O")</f>
        <v>#VALUE!</v>
      </c>
      <c r="AJ2" s="207" t="e">
        <f t="shared" ref="AJ2:AJ33" si="9">IF(BH2="","",CONCATENATE((YEAR(BH2)&amp;"")-1911,"年",MONTH(BH2),"月",DAY(BH2),"日"))</f>
        <v>#VALUE!</v>
      </c>
      <c r="AK2" s="203">
        <v>107</v>
      </c>
      <c r="AL2" s="203" t="e">
        <f t="shared" ref="AL2:AL33" si="10">AK2-($Z$1007-($Z$1001+1))</f>
        <v>#VALUE!</v>
      </c>
      <c r="AM2" s="208" t="e">
        <f t="shared" ref="AM2:AM33" si="11">IF($AA$1001+$AB$1001=0,AL2-$Z$1001,AL2-$Z$1001-1)</f>
        <v>#VALUE!</v>
      </c>
      <c r="AN2" s="208" t="e">
        <f t="shared" ref="AN2:AN33" si="12">IF($AB$1001&gt;0,11-$AA$1001,IF($AA$1001=0,0,12-$AA$1001))</f>
        <v>#VALUE!</v>
      </c>
      <c r="AO2" s="208" t="e">
        <f t="shared" ref="AO2:AO33" si="13">IF($AB$1001=0,0,30-$AB$1001)</f>
        <v>#VALUE!</v>
      </c>
      <c r="AP2" s="209" t="e">
        <f t="shared" ref="AP2:AP33" si="14">DATEVALUE(CONCATENATE(AM2+$Z$1002+IF($AA$1002+AN2-1&gt;12,1,IF($AA$1002+AN2-1=0,-1,0))+1911,"/",IF(MOD(AN2+$AA$1002-1,12)=0,12,MOD(AN2+$AA$1002-1,12)),"/",VLOOKUP(IF(MOD(AN2+$AA$1002-1,12)=0,12,MOD(AN2+$AA$1002-1,12)),Month_Days,2,0)+IF(AND(IF(MOD(AN2+$AA$1002-1,12)=0,12,MOD(AN2+$AA$1002-1,12))=2,MOD(AM2+$Z$1002+IF($AA$1002+AN2-1&gt;12,1,IF($AA$1002+AN2-1=0,-1,0)),4)=1),1,0)))</f>
        <v>#VALUE!</v>
      </c>
      <c r="AQ2" s="209" t="e">
        <f t="shared" ref="AQ2:AQ33" si="15">DATEVALUE(CONCATENATE(AM2+$Z$1002+IF($AA$1002+AN2&gt;12,1,0)+1911,"/",IF(MOD(AN2+$AA$1002,12)=0,12,MOD(AN2+$AA$1002,12)),"/",VLOOKUP(IF(MOD(AN2+$AA$1002,12)=0,12,MOD(AN2+$AA$1002,12)),Month_Days,2,0)+IF(AND(IF(MOD(AN2+$AA$1002,12)=0,12,MOD(AN2+$AA$1002,12))=2,MOD(AM2+$Z$1002+IF($AA$1002+AN2&gt;12,1,0),4)=1),1,0)))</f>
        <v>#VALUE!</v>
      </c>
      <c r="AR2" s="210" t="e">
        <f t="shared" ref="AR2:AR33" si="16">IF(AND(AO2&gt;=$AD$1002,$AD$1002&gt;0),AQ2+AO2-$AD$1002,IF(AND(AO2&gt;=$AD$1002,$AD$1002=0),MIN(AP2+AO2,AQ2),MIN(AP2+($AC$1002-$AD$1002)+AO2,AQ2)))+1</f>
        <v>#VALUE!</v>
      </c>
      <c r="AS2" s="211">
        <v>43282</v>
      </c>
      <c r="AT2" s="212" t="e">
        <f t="shared" ref="AT2:AT33" si="17">AD2&gt;=25</f>
        <v>#VALUE!</v>
      </c>
      <c r="AU2" s="212" t="e">
        <f t="shared" ref="AU2:AU33" si="18">AND(AC2&gt;=60,AD2&gt;=5)</f>
        <v>#VALUE!</v>
      </c>
      <c r="AV2" s="212" t="e">
        <f>OR(AT2,AU2)</f>
        <v>#VALUE!</v>
      </c>
      <c r="AW2" s="212" t="e">
        <f t="shared" ref="AW2:AW33" si="19">AE2&gt;=Z2</f>
        <v>#VALUE!</v>
      </c>
      <c r="AX2" s="212" t="b">
        <f t="shared" ref="AX2:AX33" si="20">AC2&gt;=AB2</f>
        <v>1</v>
      </c>
      <c r="AY2" s="212" t="e">
        <f t="shared" ref="AY2:AY33" si="21">AD2&gt;=15</f>
        <v>#VALUE!</v>
      </c>
      <c r="AZ2" s="212" t="b">
        <f t="shared" ref="AZ2:AZ33" si="22">AC2&gt;=AA2</f>
        <v>1</v>
      </c>
      <c r="BA2" s="212" t="e">
        <f>AND(AW2,AX2,AY2)</f>
        <v>#VALUE!</v>
      </c>
      <c r="BB2" s="212" t="e">
        <f>AND(AY2,AZ2)</f>
        <v>#VALUE!</v>
      </c>
      <c r="BC2" s="212" t="e">
        <f>OR(BA2,BB2)</f>
        <v>#VALUE!</v>
      </c>
      <c r="BD2" s="213" t="e">
        <f t="shared" ref="BD2:BD33" si="23">IF(AND(AV2,BC2),AS2,"")</f>
        <v>#VALUE!</v>
      </c>
      <c r="BE2" s="213" t="e">
        <f t="shared" ref="BE2:BE33" si="24">IF(AND(AV2,AY2,BC2=FALSE,AC2&gt;=AA2-5,AC2&lt;AA2),AS2,"")</f>
        <v>#VALUE!</v>
      </c>
      <c r="BF2" s="213" t="e">
        <f t="shared" ref="BF2:BF33" si="25">IF(AND(AV2,AY2,BC2=FALSE,AC2&lt;AA2),AS2,"")</f>
        <v>#VALUE!</v>
      </c>
      <c r="BG2" s="214" t="e">
        <f t="shared" ref="BG2:BG33" si="26">IF(BE2&lt;&gt;"",-0.04*(AA2-(IF(OR(MONTH(AS2)&lt;$AA$1000,AND(MONTH(AS2)=$AA$1000,DAY(AS2)&lt;$AB$1000)),Y2-1,Y2)-$Z$1000+(IF(IF(DAY(AS2)&lt;$AB$1000,MONTH(AS2)-1,MONTH(AS2))&gt;=$AA$1000,IF(DAY(AS2)&lt;$AB$1000,MONTH(AS2)-1,MONTH(AS2))-$AA$1000,IF(DAY(AS2)&lt;$AB$1000,MONTH(AS2)-1,MONTH(AS2))+12-$AA$1000))/12)),"")</f>
        <v>#VALUE!</v>
      </c>
      <c r="BH2" s="215" t="e">
        <f t="shared" ref="BH2:BH33" si="27">IF(BF2&lt;&gt;"",IF(ISERROR(DATEVALUE(CONCATENATE($Z$1000+AA2+1911,"/",$AA$1000,"/",$AB$1000))),DATEVALUE(CONCATENATE($Z$1000+AA2+1911,"/",3,"/",1)),DATEVALUE(CONCATENATE($Z$1000+AA2+1911,"/",$AA$1000,"/",$AB$1000))),"")</f>
        <v>#VALUE!</v>
      </c>
    </row>
    <row r="3" spans="1:60" ht="31.5" x14ac:dyDescent="0.25">
      <c r="A3" s="309"/>
      <c r="B3" s="270" t="s">
        <v>11</v>
      </c>
      <c r="C3" s="270" t="s">
        <v>158</v>
      </c>
      <c r="D3" s="270" t="s">
        <v>159</v>
      </c>
      <c r="E3" s="271" t="s">
        <v>167</v>
      </c>
      <c r="F3" s="271" t="s">
        <v>7</v>
      </c>
      <c r="G3" s="271" t="s">
        <v>11</v>
      </c>
      <c r="H3" s="317"/>
      <c r="I3" s="319"/>
      <c r="J3" s="306"/>
      <c r="K3" s="268" t="s">
        <v>224</v>
      </c>
      <c r="L3" s="274" t="s">
        <v>225</v>
      </c>
      <c r="M3" s="216">
        <f>IF(最早可退休日期!$D$2&lt;&gt;"職員",Y5,IF(AND($AS$3&lt;$AS$2,$AS$4&lt;$AS$2),Y5,IF($AS$3&lt;$AS$2,Y4,Y3)))</f>
        <v>108</v>
      </c>
      <c r="N3" s="217">
        <f>IF(最早可退休日期!$D$2&lt;&gt;"職員",Z5,IF(AND($AS$3&lt;$AS$2,$AS$4&lt;$AS$2),Z5,IF($AS$3&lt;$AS$2,Z4,Z3)))</f>
        <v>77</v>
      </c>
      <c r="O3" s="217">
        <f>IF(最早可退休日期!$D$2&lt;&gt;"職員",AA5,IF(AND($AS$3&lt;$AS$2,$AS$4&lt;$AS$2),AA5,IF($AS$3&lt;$AS$2,AA4,AA3)))</f>
        <v>58</v>
      </c>
      <c r="P3" s="217">
        <f>IF(最早可退休日期!$D$2&lt;&gt;"職員",AB5,IF(AND($AS$3&lt;$AS$2,$AS$4&lt;$AS$2),AB5,IF($AS$3&lt;$AS$2,AB4,AB3)))</f>
        <v>50</v>
      </c>
      <c r="Q3" s="217">
        <f>IF(最早可退休日期!$D$2&lt;&gt;"職員",AC5,IF(AND($AS$3&lt;$AS$2,$AS$4&lt;$AS$2),AC5,IF($AS$3&lt;$AS$2,AC4,AC3)))</f>
        <v>108</v>
      </c>
      <c r="R3" s="217" t="e">
        <f>IF(最早可退休日期!$D$2&lt;&gt;"職員",AD5,IF(AND($AS$3&lt;$AS$2,$AS$4&lt;$AS$2),AD5,IF($AS$3&lt;$AS$2,AD4,AD3)))</f>
        <v>#VALUE!</v>
      </c>
      <c r="S3" s="217" t="e">
        <f>IF(最早可退休日期!$D$2&lt;&gt;"職員",AE5,IF(AND($AS$3&lt;$AS$2,$AS$4&lt;$AS$2),AE5,IF($AS$3&lt;$AS$2,AE4,AE3)))</f>
        <v>#VALUE!</v>
      </c>
      <c r="T3" s="218" t="str">
        <f>IF(最早可退休日期!$D$2&lt;&gt;"職員",AF5,IF(AND($AS$3&lt;$AS$2,$AS$4&lt;$AS$2),AF5,IF($AS$3&lt;$AS$2,AF4,AF3)))</f>
        <v>108年2月1日</v>
      </c>
      <c r="U3" s="219" t="e">
        <f>IF(最早可退休日期!$D$2&lt;&gt;"職員",AG5,IF(AND($AS$3&lt;$AS$2,$AS$4&lt;$AS$2),AG5,IF($AS$3&lt;$AS$2,AG4,AG3)))</f>
        <v>#VALUE!</v>
      </c>
      <c r="V3" s="219" t="e">
        <f>IF(最早可退休日期!$D$2&lt;&gt;"職員",AH5,IF(AND($AS$3&lt;$AS$2,$AS$4&lt;$AS$2),AH5,IF($AS$3&lt;$AS$2,AH4,AH3)))</f>
        <v>#VALUE!</v>
      </c>
      <c r="W3" s="206" t="e">
        <f>IF(最早可退休日期!$D$2&lt;&gt;"職員",AI5,IF(AND($AS$3&lt;$AS$2,$AS$4&lt;$AS$2),AI5,IF($AS$3&lt;$AS$2,AI4,AI3)))</f>
        <v>#VALUE!</v>
      </c>
      <c r="X3" s="207" t="e">
        <f>IF(最早可退休日期!$D$2&lt;&gt;"職員",AJ5,IF(AND($AS$3&lt;$AS$2,$AS$4&lt;$AS$2),AJ5,IF($AS$3&lt;$AS$2,AJ4,AJ3)))</f>
        <v>#VALUE!</v>
      </c>
      <c r="Y3" s="216">
        <f t="shared" si="0"/>
        <v>107</v>
      </c>
      <c r="Z3" s="217">
        <f>IF(Y3&gt;=122,"無",IF(AS3&lt;DATEVALUE("2018/6/30"),75,VLOOKUP(Y3,Index,2,0)))</f>
        <v>75</v>
      </c>
      <c r="AA3" s="217">
        <f>IF(最早退休日期!$B$1="中等以下教師",58,IF(Y3&gt;=122,65,IF(Y3&lt;107,50,VLOOKUP(Y3,Legal_Year,3,0))))</f>
        <v>58</v>
      </c>
      <c r="AB3" s="217">
        <f t="shared" ref="AB3:AB24" si="28">IF(Y3&lt;=115,50,55)</f>
        <v>50</v>
      </c>
      <c r="AC3" s="217">
        <f t="shared" si="2"/>
        <v>107</v>
      </c>
      <c r="AD3" s="217" t="e">
        <f t="shared" si="3"/>
        <v>#VALUE!</v>
      </c>
      <c r="AE3" s="217" t="e">
        <f t="shared" ref="AE3:AE24" si="29">AC3+AD3</f>
        <v>#VALUE!</v>
      </c>
      <c r="AF3" s="218" t="str">
        <f t="shared" si="5"/>
        <v>107年2月1日</v>
      </c>
      <c r="AG3" s="219" t="e">
        <f t="shared" si="6"/>
        <v>#VALUE!</v>
      </c>
      <c r="AH3" s="219" t="e">
        <f t="shared" si="7"/>
        <v>#VALUE!</v>
      </c>
      <c r="AI3" s="206" t="e">
        <f t="shared" si="8"/>
        <v>#VALUE!</v>
      </c>
      <c r="AJ3" s="207" t="e">
        <f t="shared" si="9"/>
        <v>#VALUE!</v>
      </c>
      <c r="AK3" s="217">
        <v>107</v>
      </c>
      <c r="AL3" s="217" t="e">
        <f t="shared" si="10"/>
        <v>#VALUE!</v>
      </c>
      <c r="AM3" s="220" t="e">
        <f t="shared" si="11"/>
        <v>#VALUE!</v>
      </c>
      <c r="AN3" s="220" t="e">
        <f t="shared" si="12"/>
        <v>#VALUE!</v>
      </c>
      <c r="AO3" s="220" t="e">
        <f t="shared" si="13"/>
        <v>#VALUE!</v>
      </c>
      <c r="AP3" s="221" t="e">
        <f t="shared" si="14"/>
        <v>#VALUE!</v>
      </c>
      <c r="AQ3" s="221" t="e">
        <f t="shared" si="15"/>
        <v>#VALUE!</v>
      </c>
      <c r="AR3" s="222" t="e">
        <f t="shared" si="16"/>
        <v>#VALUE!</v>
      </c>
      <c r="AS3" s="223">
        <f>IF(最早退休日期!$B$2="職員",MIN(IF(ISERROR(DATEVALUE(CONCATENATE(AK3+1911,"/",$AA$1000,"/",$AB$1000))),DATEVALUE(CONCATENATE(AK3+1911,"/",3,"/",1)),DATEVALUE(CONCATENATE(AK3+1911,"/",$AA$1000,"/",$AB$1000))),AR3),DATEVALUE(CONCATENATE(AK3+1911,"/2/1")))</f>
        <v>43132</v>
      </c>
      <c r="AT3" s="224" t="e">
        <f t="shared" si="17"/>
        <v>#VALUE!</v>
      </c>
      <c r="AU3" s="224" t="e">
        <f t="shared" si="18"/>
        <v>#VALUE!</v>
      </c>
      <c r="AV3" s="224" t="e">
        <f>OR(AT3,AU3)</f>
        <v>#VALUE!</v>
      </c>
      <c r="AW3" s="224" t="e">
        <f t="shared" si="19"/>
        <v>#VALUE!</v>
      </c>
      <c r="AX3" s="224" t="b">
        <f t="shared" si="20"/>
        <v>1</v>
      </c>
      <c r="AY3" s="224" t="e">
        <f t="shared" si="21"/>
        <v>#VALUE!</v>
      </c>
      <c r="AZ3" s="224" t="b">
        <f t="shared" si="22"/>
        <v>1</v>
      </c>
      <c r="BA3" s="224" t="e">
        <f>AND(AW3,AX3,AY3)</f>
        <v>#VALUE!</v>
      </c>
      <c r="BB3" s="224" t="e">
        <f>AND(AY3,AZ3)</f>
        <v>#VALUE!</v>
      </c>
      <c r="BC3" s="224" t="e">
        <f>OR(BA3,BB3)</f>
        <v>#VALUE!</v>
      </c>
      <c r="BD3" s="225" t="e">
        <f t="shared" si="23"/>
        <v>#VALUE!</v>
      </c>
      <c r="BE3" s="225" t="e">
        <f t="shared" si="24"/>
        <v>#VALUE!</v>
      </c>
      <c r="BF3" s="225" t="e">
        <f t="shared" si="25"/>
        <v>#VALUE!</v>
      </c>
      <c r="BG3" s="226" t="e">
        <f t="shared" si="26"/>
        <v>#VALUE!</v>
      </c>
      <c r="BH3" s="227" t="e">
        <f t="shared" si="27"/>
        <v>#VALUE!</v>
      </c>
    </row>
    <row r="4" spans="1:60" x14ac:dyDescent="0.25">
      <c r="A4" s="216" t="str">
        <f>IF(OR($Q2&gt;65,$Q2=0),"",M2)</f>
        <v/>
      </c>
      <c r="B4" s="217" t="str">
        <f t="shared" ref="B4:L4" si="30">IF(OR($Q2&gt;65,$Q2=0),"",N2)</f>
        <v/>
      </c>
      <c r="C4" s="217" t="str">
        <f t="shared" si="30"/>
        <v/>
      </c>
      <c r="D4" s="217" t="str">
        <f t="shared" si="30"/>
        <v/>
      </c>
      <c r="E4" s="217" t="str">
        <f t="shared" si="30"/>
        <v/>
      </c>
      <c r="F4" s="217" t="str">
        <f t="shared" si="30"/>
        <v/>
      </c>
      <c r="G4" s="217" t="str">
        <f t="shared" si="30"/>
        <v/>
      </c>
      <c r="H4" s="218" t="str">
        <f t="shared" si="30"/>
        <v/>
      </c>
      <c r="I4" s="219" t="str">
        <f t="shared" si="30"/>
        <v/>
      </c>
      <c r="J4" s="219" t="str">
        <f t="shared" si="30"/>
        <v/>
      </c>
      <c r="K4" s="206" t="str">
        <f t="shared" si="30"/>
        <v/>
      </c>
      <c r="L4" s="272" t="str">
        <f t="shared" si="30"/>
        <v/>
      </c>
      <c r="M4" s="216">
        <f>IF(最早可退休日期!$D$2&lt;&gt;"職員",Y6,IF(AND($AS$3&lt;$AS$2,$AS$4&lt;$AS$2),Y6,IF($AS$3&lt;$AS$2,Y5,Y4)))</f>
        <v>108</v>
      </c>
      <c r="N4" s="217">
        <f>IF(最早可退休日期!$D$2&lt;&gt;"職員",Z6,IF(AND($AS$3&lt;$AS$2,$AS$4&lt;$AS$2),Z6,IF($AS$3&lt;$AS$2,Z5,Z4)))</f>
        <v>77</v>
      </c>
      <c r="O4" s="217">
        <f>IF(最早可退休日期!$D$2&lt;&gt;"職員",AA6,IF(AND($AS$3&lt;$AS$2,$AS$4&lt;$AS$2),AA6,IF($AS$3&lt;$AS$2,AA5,AA4)))</f>
        <v>58</v>
      </c>
      <c r="P4" s="217">
        <f>IF(最早可退休日期!$D$2&lt;&gt;"職員",AB6,IF(AND($AS$3&lt;$AS$2,$AS$4&lt;$AS$2),AB6,IF($AS$3&lt;$AS$2,AB5,AB4)))</f>
        <v>50</v>
      </c>
      <c r="Q4" s="217">
        <f>IF(最早可退休日期!$D$2&lt;&gt;"職員",AC6,IF(AND($AS$3&lt;$AS$2,$AS$4&lt;$AS$2),AC6,IF($AS$3&lt;$AS$2,AC5,AC4)))</f>
        <v>108</v>
      </c>
      <c r="R4" s="217" t="e">
        <f>IF(最早可退休日期!$D$2&lt;&gt;"職員",AD6,IF(AND($AS$3&lt;$AS$2,$AS$4&lt;$AS$2),AD6,IF($AS$3&lt;$AS$2,AD5,AD4)))</f>
        <v>#VALUE!</v>
      </c>
      <c r="S4" s="217" t="e">
        <f>IF(最早可退休日期!$D$2&lt;&gt;"職員",AE6,IF(AND($AS$3&lt;$AS$2,$AS$4&lt;$AS$2),AE6,IF($AS$3&lt;$AS$2,AE5,AE4)))</f>
        <v>#VALUE!</v>
      </c>
      <c r="T4" s="218" t="str">
        <f>IF(最早可退休日期!$D$2&lt;&gt;"職員",AF6,IF(AND($AS$3&lt;$AS$2,$AS$4&lt;$AS$2),AF6,IF($AS$3&lt;$AS$2,AF5,AF4)))</f>
        <v>108年8月1日</v>
      </c>
      <c r="U4" s="219" t="e">
        <f>IF(最早可退休日期!$D$2&lt;&gt;"職員",AG6,IF(AND($AS$3&lt;$AS$2,$AS$4&lt;$AS$2),AG6,IF($AS$3&lt;$AS$2,AG5,AG4)))</f>
        <v>#VALUE!</v>
      </c>
      <c r="V4" s="219" t="e">
        <f>IF(最早可退休日期!$D$2&lt;&gt;"職員",AH6,IF(AND($AS$3&lt;$AS$2,$AS$4&lt;$AS$2),AH6,IF($AS$3&lt;$AS$2,AH5,AH4)))</f>
        <v>#VALUE!</v>
      </c>
      <c r="W4" s="206" t="e">
        <f>IF(最早可退休日期!$D$2&lt;&gt;"職員",AI6,IF(AND($AS$3&lt;$AS$2,$AS$4&lt;$AS$2),AI6,IF($AS$3&lt;$AS$2,AI5,AI4)))</f>
        <v>#VALUE!</v>
      </c>
      <c r="X4" s="207" t="e">
        <f>IF(最早可退休日期!$D$2&lt;&gt;"職員",AJ6,IF(AND($AS$3&lt;$AS$2,$AS$4&lt;$AS$2),AJ6,IF($AS$3&lt;$AS$2,AJ5,AJ4)))</f>
        <v>#VALUE!</v>
      </c>
      <c r="Y4" s="217">
        <f t="shared" si="0"/>
        <v>107</v>
      </c>
      <c r="Z4" s="217">
        <f t="shared" ref="Z4:Z66" si="31">IF(Y4&gt;=122,"無",IF(Y4&lt;107,75,VLOOKUP(Y4,Index,2,0)))</f>
        <v>76</v>
      </c>
      <c r="AA4" s="217">
        <f>IF(最早退休日期!$B$1="中等以下教師",58,IF(Y4&gt;=122,65,IF(Y4&lt;107,50,VLOOKUP(Y4,Legal_Year,3,0))))</f>
        <v>58</v>
      </c>
      <c r="AB4" s="217">
        <f t="shared" si="28"/>
        <v>50</v>
      </c>
      <c r="AC4" s="217">
        <f t="shared" si="2"/>
        <v>107</v>
      </c>
      <c r="AD4" s="217" t="e">
        <f t="shared" si="3"/>
        <v>#VALUE!</v>
      </c>
      <c r="AE4" s="217" t="e">
        <f t="shared" si="29"/>
        <v>#VALUE!</v>
      </c>
      <c r="AF4" s="227" t="str">
        <f t="shared" si="5"/>
        <v>107年8月1日</v>
      </c>
      <c r="AG4" s="219" t="e">
        <f t="shared" si="6"/>
        <v>#VALUE!</v>
      </c>
      <c r="AH4" s="219" t="e">
        <f t="shared" si="7"/>
        <v>#VALUE!</v>
      </c>
      <c r="AI4" s="206" t="e">
        <f t="shared" si="8"/>
        <v>#VALUE!</v>
      </c>
      <c r="AJ4" s="207" t="e">
        <f t="shared" si="9"/>
        <v>#VALUE!</v>
      </c>
      <c r="AK4" s="217">
        <v>107</v>
      </c>
      <c r="AL4" s="217" t="e">
        <f t="shared" si="10"/>
        <v>#VALUE!</v>
      </c>
      <c r="AM4" s="220" t="e">
        <f t="shared" si="11"/>
        <v>#VALUE!</v>
      </c>
      <c r="AN4" s="220" t="e">
        <f t="shared" si="12"/>
        <v>#VALUE!</v>
      </c>
      <c r="AO4" s="220" t="e">
        <f t="shared" si="13"/>
        <v>#VALUE!</v>
      </c>
      <c r="AP4" s="221" t="e">
        <f t="shared" si="14"/>
        <v>#VALUE!</v>
      </c>
      <c r="AQ4" s="221" t="e">
        <f t="shared" si="15"/>
        <v>#VALUE!</v>
      </c>
      <c r="AR4" s="222" t="e">
        <f t="shared" si="16"/>
        <v>#VALUE!</v>
      </c>
      <c r="AS4" s="223">
        <f>IF(最早退休日期!$B$2="職員",MAX(IF(ISERROR(DATEVALUE(CONCATENATE(AK4+1911,"/",$AA$1000,"/",$AB$1000))),DATEVALUE(CONCATENATE(AK4+1911,"/",3,"/",1)),DATEVALUE(CONCATENATE(AK4+1911,"/",$AA$1000,"/",$AB$1000))),AR4),DATEVALUE(CONCATENATE(AK4+1911,"/8/1")))</f>
        <v>43313</v>
      </c>
      <c r="AT4" s="224" t="e">
        <f t="shared" si="17"/>
        <v>#VALUE!</v>
      </c>
      <c r="AU4" s="224" t="e">
        <f t="shared" si="18"/>
        <v>#VALUE!</v>
      </c>
      <c r="AV4" s="224" t="e">
        <f t="shared" ref="AV4:AV24" si="32">OR(AT4,AU4)</f>
        <v>#VALUE!</v>
      </c>
      <c r="AW4" s="224" t="e">
        <f t="shared" si="19"/>
        <v>#VALUE!</v>
      </c>
      <c r="AX4" s="224" t="b">
        <f t="shared" si="20"/>
        <v>1</v>
      </c>
      <c r="AY4" s="224" t="e">
        <f t="shared" si="21"/>
        <v>#VALUE!</v>
      </c>
      <c r="AZ4" s="224" t="b">
        <f t="shared" si="22"/>
        <v>1</v>
      </c>
      <c r="BA4" s="224" t="e">
        <f t="shared" ref="BA4:BA24" si="33">AND(AW4,AX4,AY4)</f>
        <v>#VALUE!</v>
      </c>
      <c r="BB4" s="224" t="e">
        <f t="shared" ref="BB4:BB24" si="34">AND(AY4,AZ4)</f>
        <v>#VALUE!</v>
      </c>
      <c r="BC4" s="224" t="e">
        <f t="shared" ref="BC4:BC24" si="35">OR(BA4,BB4)</f>
        <v>#VALUE!</v>
      </c>
      <c r="BD4" s="225" t="e">
        <f t="shared" si="23"/>
        <v>#VALUE!</v>
      </c>
      <c r="BE4" s="225" t="e">
        <f t="shared" si="24"/>
        <v>#VALUE!</v>
      </c>
      <c r="BF4" s="225" t="e">
        <f t="shared" si="25"/>
        <v>#VALUE!</v>
      </c>
      <c r="BG4" s="226" t="e">
        <f t="shared" si="26"/>
        <v>#VALUE!</v>
      </c>
      <c r="BH4" s="227" t="e">
        <f t="shared" si="27"/>
        <v>#VALUE!</v>
      </c>
    </row>
    <row r="5" spans="1:60" x14ac:dyDescent="0.25">
      <c r="A5" s="216" t="str">
        <f t="shared" ref="A5:A68" si="36">IF(OR($Q3&gt;65,$Q3=0),"",M3)</f>
        <v/>
      </c>
      <c r="B5" s="217" t="str">
        <f t="shared" ref="B5:B68" si="37">IF(OR($Q3&gt;65,$Q3=0),"",N3)</f>
        <v/>
      </c>
      <c r="C5" s="217" t="str">
        <f t="shared" ref="C5:C68" si="38">IF(OR($Q3&gt;65,$Q3=0),"",O3)</f>
        <v/>
      </c>
      <c r="D5" s="217" t="str">
        <f t="shared" ref="D5:D68" si="39">IF(OR($Q3&gt;65,$Q3=0),"",P3)</f>
        <v/>
      </c>
      <c r="E5" s="217" t="str">
        <f t="shared" ref="E5:E68" si="40">IF(OR($Q3&gt;65,$Q3=0),"",Q3)</f>
        <v/>
      </c>
      <c r="F5" s="217" t="str">
        <f t="shared" ref="F5:F68" si="41">IF(OR($Q3&gt;65,$Q3=0),"",R3)</f>
        <v/>
      </c>
      <c r="G5" s="217" t="str">
        <f t="shared" ref="G5:G68" si="42">IF(OR($Q3&gt;65,$Q3=0),"",S3)</f>
        <v/>
      </c>
      <c r="H5" s="218" t="str">
        <f t="shared" ref="H5:H68" si="43">IF(OR($Q3&gt;65,$Q3=0),"",T3)</f>
        <v/>
      </c>
      <c r="I5" s="219" t="str">
        <f t="shared" ref="I5:I68" si="44">IF(OR($Q3&gt;65,$Q3=0),"",U3)</f>
        <v/>
      </c>
      <c r="J5" s="219" t="str">
        <f t="shared" ref="J5:J68" si="45">IF(OR($Q3&gt;65,$Q3=0),"",V3)</f>
        <v/>
      </c>
      <c r="K5" s="206" t="str">
        <f t="shared" ref="K5:K68" si="46">IF(OR($Q3&gt;65,$Q3=0),"",W3)</f>
        <v/>
      </c>
      <c r="L5" s="272" t="str">
        <f t="shared" ref="L5:L68" si="47">IF(OR($Q3&gt;65,$Q3=0),"",X3)</f>
        <v/>
      </c>
      <c r="M5" s="216">
        <f>IF(最早可退休日期!$D$2&lt;&gt;"職員",Y7,IF(AND($AS$3&lt;$AS$2,$AS$4&lt;$AS$2),Y7,IF($AS$3&lt;$AS$2,Y6,Y5)))</f>
        <v>109</v>
      </c>
      <c r="N5" s="217">
        <f>IF(最早可退休日期!$D$2&lt;&gt;"職員",Z7,IF(AND($AS$3&lt;$AS$2,$AS$4&lt;$AS$2),Z7,IF($AS$3&lt;$AS$2,Z6,Z5)))</f>
        <v>78</v>
      </c>
      <c r="O5" s="217">
        <f>IF(最早可退休日期!$D$2&lt;&gt;"職員",AA7,IF(AND($AS$3&lt;$AS$2,$AS$4&lt;$AS$2),AA7,IF($AS$3&lt;$AS$2,AA6,AA5)))</f>
        <v>58</v>
      </c>
      <c r="P5" s="217">
        <f>IF(最早可退休日期!$D$2&lt;&gt;"職員",AB7,IF(AND($AS$3&lt;$AS$2,$AS$4&lt;$AS$2),AB7,IF($AS$3&lt;$AS$2,AB6,AB5)))</f>
        <v>50</v>
      </c>
      <c r="Q5" s="217">
        <f>IF(最早可退休日期!$D$2&lt;&gt;"職員",AC7,IF(AND($AS$3&lt;$AS$2,$AS$4&lt;$AS$2),AC7,IF($AS$3&lt;$AS$2,AC6,AC5)))</f>
        <v>109</v>
      </c>
      <c r="R5" s="217" t="e">
        <f>IF(最早可退休日期!$D$2&lt;&gt;"職員",AD7,IF(AND($AS$3&lt;$AS$2,$AS$4&lt;$AS$2),AD7,IF($AS$3&lt;$AS$2,AD6,AD5)))</f>
        <v>#VALUE!</v>
      </c>
      <c r="S5" s="217" t="e">
        <f>IF(最早可退休日期!$D$2&lt;&gt;"職員",AE7,IF(AND($AS$3&lt;$AS$2,$AS$4&lt;$AS$2),AE7,IF($AS$3&lt;$AS$2,AE6,AE5)))</f>
        <v>#VALUE!</v>
      </c>
      <c r="T5" s="218" t="str">
        <f>IF(最早可退休日期!$D$2&lt;&gt;"職員",AF7,IF(AND($AS$3&lt;$AS$2,$AS$4&lt;$AS$2),AF7,IF($AS$3&lt;$AS$2,AF6,AF5)))</f>
        <v>109年2月1日</v>
      </c>
      <c r="U5" s="219" t="e">
        <f>IF(最早可退休日期!$D$2&lt;&gt;"職員",AG7,IF(AND($AS$3&lt;$AS$2,$AS$4&lt;$AS$2),AG7,IF($AS$3&lt;$AS$2,AG6,AG5)))</f>
        <v>#VALUE!</v>
      </c>
      <c r="V5" s="219" t="e">
        <f>IF(最早可退休日期!$D$2&lt;&gt;"職員",AH7,IF(AND($AS$3&lt;$AS$2,$AS$4&lt;$AS$2),AH7,IF($AS$3&lt;$AS$2,AH6,AH5)))</f>
        <v>#VALUE!</v>
      </c>
      <c r="W5" s="206" t="e">
        <f>IF(最早可退休日期!$D$2&lt;&gt;"職員",AI7,IF(AND($AS$3&lt;$AS$2,$AS$4&lt;$AS$2),AI7,IF($AS$3&lt;$AS$2,AI6,AI5)))</f>
        <v>#VALUE!</v>
      </c>
      <c r="X5" s="207" t="e">
        <f>IF(最早可退休日期!$D$2&lt;&gt;"職員",AJ7,IF(AND($AS$3&lt;$AS$2,$AS$4&lt;$AS$2),AJ7,IF($AS$3&lt;$AS$2,AJ6,AJ5)))</f>
        <v>#VALUE!</v>
      </c>
      <c r="Y5" s="217">
        <f t="shared" si="0"/>
        <v>108</v>
      </c>
      <c r="Z5" s="217">
        <f t="shared" si="31"/>
        <v>77</v>
      </c>
      <c r="AA5" s="217">
        <f>IF(最早退休日期!$B$1="中等以下教師",58,IF(Y5&gt;=122,65,IF(Y5&lt;107,50,VLOOKUP(Y5,Legal_Year,3,0))))</f>
        <v>58</v>
      </c>
      <c r="AB5" s="217">
        <f t="shared" si="28"/>
        <v>50</v>
      </c>
      <c r="AC5" s="217">
        <f t="shared" si="2"/>
        <v>108</v>
      </c>
      <c r="AD5" s="217" t="e">
        <f t="shared" si="3"/>
        <v>#VALUE!</v>
      </c>
      <c r="AE5" s="217" t="e">
        <f t="shared" si="29"/>
        <v>#VALUE!</v>
      </c>
      <c r="AF5" s="227" t="str">
        <f t="shared" si="5"/>
        <v>108年2月1日</v>
      </c>
      <c r="AG5" s="219" t="e">
        <f t="shared" si="6"/>
        <v>#VALUE!</v>
      </c>
      <c r="AH5" s="219" t="e">
        <f t="shared" si="7"/>
        <v>#VALUE!</v>
      </c>
      <c r="AI5" s="206" t="e">
        <f t="shared" si="8"/>
        <v>#VALUE!</v>
      </c>
      <c r="AJ5" s="207" t="e">
        <f t="shared" si="9"/>
        <v>#VALUE!</v>
      </c>
      <c r="AK5" s="217">
        <f>AK3+1</f>
        <v>108</v>
      </c>
      <c r="AL5" s="217" t="e">
        <f t="shared" si="10"/>
        <v>#VALUE!</v>
      </c>
      <c r="AM5" s="220" t="e">
        <f t="shared" si="11"/>
        <v>#VALUE!</v>
      </c>
      <c r="AN5" s="220" t="e">
        <f t="shared" si="12"/>
        <v>#VALUE!</v>
      </c>
      <c r="AO5" s="220" t="e">
        <f t="shared" si="13"/>
        <v>#VALUE!</v>
      </c>
      <c r="AP5" s="221" t="e">
        <f t="shared" si="14"/>
        <v>#VALUE!</v>
      </c>
      <c r="AQ5" s="221" t="e">
        <f t="shared" si="15"/>
        <v>#VALUE!</v>
      </c>
      <c r="AR5" s="222" t="e">
        <f t="shared" si="16"/>
        <v>#VALUE!</v>
      </c>
      <c r="AS5" s="223">
        <f>IF(最早退休日期!$B$2="職員",MIN(IF(ISERROR(DATEVALUE(CONCATENATE(AK5+1911,"/",$AA$1000,"/",$AB$1000))),DATEVALUE(CONCATENATE(AK5+1911,"/",3,"/",1)),DATEVALUE(CONCATENATE(AK5+1911,"/",$AA$1000,"/",$AB$1000))),AR5),DATEVALUE(CONCATENATE(AK5+1911,"/2/1")))</f>
        <v>43497</v>
      </c>
      <c r="AT5" s="224" t="e">
        <f t="shared" si="17"/>
        <v>#VALUE!</v>
      </c>
      <c r="AU5" s="224" t="e">
        <f t="shared" si="18"/>
        <v>#VALUE!</v>
      </c>
      <c r="AV5" s="224" t="e">
        <f t="shared" si="32"/>
        <v>#VALUE!</v>
      </c>
      <c r="AW5" s="224" t="e">
        <f t="shared" si="19"/>
        <v>#VALUE!</v>
      </c>
      <c r="AX5" s="224" t="b">
        <f t="shared" si="20"/>
        <v>1</v>
      </c>
      <c r="AY5" s="224" t="e">
        <f t="shared" si="21"/>
        <v>#VALUE!</v>
      </c>
      <c r="AZ5" s="224" t="b">
        <f t="shared" si="22"/>
        <v>1</v>
      </c>
      <c r="BA5" s="224" t="e">
        <f t="shared" si="33"/>
        <v>#VALUE!</v>
      </c>
      <c r="BB5" s="224" t="e">
        <f t="shared" si="34"/>
        <v>#VALUE!</v>
      </c>
      <c r="BC5" s="224" t="e">
        <f t="shared" si="35"/>
        <v>#VALUE!</v>
      </c>
      <c r="BD5" s="225" t="e">
        <f t="shared" si="23"/>
        <v>#VALUE!</v>
      </c>
      <c r="BE5" s="225" t="e">
        <f t="shared" si="24"/>
        <v>#VALUE!</v>
      </c>
      <c r="BF5" s="225" t="e">
        <f t="shared" si="25"/>
        <v>#VALUE!</v>
      </c>
      <c r="BG5" s="226" t="e">
        <f t="shared" si="26"/>
        <v>#VALUE!</v>
      </c>
      <c r="BH5" s="227" t="e">
        <f t="shared" si="27"/>
        <v>#VALUE!</v>
      </c>
    </row>
    <row r="6" spans="1:60" x14ac:dyDescent="0.25">
      <c r="A6" s="216" t="str">
        <f t="shared" si="36"/>
        <v/>
      </c>
      <c r="B6" s="217" t="str">
        <f t="shared" si="37"/>
        <v/>
      </c>
      <c r="C6" s="217" t="str">
        <f t="shared" si="38"/>
        <v/>
      </c>
      <c r="D6" s="217" t="str">
        <f t="shared" si="39"/>
        <v/>
      </c>
      <c r="E6" s="217" t="str">
        <f t="shared" si="40"/>
        <v/>
      </c>
      <c r="F6" s="217" t="str">
        <f t="shared" si="41"/>
        <v/>
      </c>
      <c r="G6" s="217" t="str">
        <f t="shared" si="42"/>
        <v/>
      </c>
      <c r="H6" s="218" t="str">
        <f t="shared" si="43"/>
        <v/>
      </c>
      <c r="I6" s="219" t="str">
        <f t="shared" si="44"/>
        <v/>
      </c>
      <c r="J6" s="219" t="str">
        <f t="shared" si="45"/>
        <v/>
      </c>
      <c r="K6" s="206" t="str">
        <f t="shared" si="46"/>
        <v/>
      </c>
      <c r="L6" s="272" t="str">
        <f t="shared" si="47"/>
        <v/>
      </c>
      <c r="M6" s="216">
        <f>IF(最早可退休日期!$D$2&lt;&gt;"職員",Y8,IF(AND($AS$3&lt;$AS$2,$AS$4&lt;$AS$2),Y8,IF($AS$3&lt;$AS$2,Y7,Y6)))</f>
        <v>109</v>
      </c>
      <c r="N6" s="217">
        <f>IF(最早可退休日期!$D$2&lt;&gt;"職員",Z8,IF(AND($AS$3&lt;$AS$2,$AS$4&lt;$AS$2),Z8,IF($AS$3&lt;$AS$2,Z7,Z6)))</f>
        <v>78</v>
      </c>
      <c r="O6" s="217">
        <f>IF(最早可退休日期!$D$2&lt;&gt;"職員",AA8,IF(AND($AS$3&lt;$AS$2,$AS$4&lt;$AS$2),AA8,IF($AS$3&lt;$AS$2,AA7,AA6)))</f>
        <v>58</v>
      </c>
      <c r="P6" s="217">
        <f>IF(最早可退休日期!$D$2&lt;&gt;"職員",AB8,IF(AND($AS$3&lt;$AS$2,$AS$4&lt;$AS$2),AB8,IF($AS$3&lt;$AS$2,AB7,AB6)))</f>
        <v>50</v>
      </c>
      <c r="Q6" s="217">
        <f>IF(最早可退休日期!$D$2&lt;&gt;"職員",AC8,IF(AND($AS$3&lt;$AS$2,$AS$4&lt;$AS$2),AC8,IF($AS$3&lt;$AS$2,AC7,AC6)))</f>
        <v>109</v>
      </c>
      <c r="R6" s="217" t="e">
        <f>IF(最早可退休日期!$D$2&lt;&gt;"職員",AD8,IF(AND($AS$3&lt;$AS$2,$AS$4&lt;$AS$2),AD8,IF($AS$3&lt;$AS$2,AD7,AD6)))</f>
        <v>#VALUE!</v>
      </c>
      <c r="S6" s="217" t="e">
        <f>IF(最早可退休日期!$D$2&lt;&gt;"職員",AE8,IF(AND($AS$3&lt;$AS$2,$AS$4&lt;$AS$2),AE8,IF($AS$3&lt;$AS$2,AE7,AE6)))</f>
        <v>#VALUE!</v>
      </c>
      <c r="T6" s="218" t="str">
        <f>IF(最早可退休日期!$D$2&lt;&gt;"職員",AF8,IF(AND($AS$3&lt;$AS$2,$AS$4&lt;$AS$2),AF8,IF($AS$3&lt;$AS$2,AF7,AF6)))</f>
        <v>109年8月1日</v>
      </c>
      <c r="U6" s="219" t="e">
        <f>IF(最早可退休日期!$D$2&lt;&gt;"職員",AG8,IF(AND($AS$3&lt;$AS$2,$AS$4&lt;$AS$2),AG8,IF($AS$3&lt;$AS$2,AG7,AG6)))</f>
        <v>#VALUE!</v>
      </c>
      <c r="V6" s="219" t="e">
        <f>IF(最早可退休日期!$D$2&lt;&gt;"職員",AH8,IF(AND($AS$3&lt;$AS$2,$AS$4&lt;$AS$2),AH8,IF($AS$3&lt;$AS$2,AH7,AH6)))</f>
        <v>#VALUE!</v>
      </c>
      <c r="W6" s="206" t="e">
        <f>IF(最早可退休日期!$D$2&lt;&gt;"職員",AI8,IF(AND($AS$3&lt;$AS$2,$AS$4&lt;$AS$2),AI8,IF($AS$3&lt;$AS$2,AI7,AI6)))</f>
        <v>#VALUE!</v>
      </c>
      <c r="X6" s="207" t="e">
        <f>IF(最早可退休日期!$D$2&lt;&gt;"職員",AJ8,IF(AND($AS$3&lt;$AS$2,$AS$4&lt;$AS$2),AJ8,IF($AS$3&lt;$AS$2,AJ7,AJ6)))</f>
        <v>#VALUE!</v>
      </c>
      <c r="Y6" s="217">
        <f t="shared" si="0"/>
        <v>108</v>
      </c>
      <c r="Z6" s="217">
        <f t="shared" si="31"/>
        <v>77</v>
      </c>
      <c r="AA6" s="217">
        <f>IF(最早退休日期!$B$1="中等以下教師",58,IF(Y6&gt;=122,65,IF(Y6&lt;107,50,VLOOKUP(Y6,Legal_Year,3,0))))</f>
        <v>58</v>
      </c>
      <c r="AB6" s="217">
        <f t="shared" si="28"/>
        <v>50</v>
      </c>
      <c r="AC6" s="217">
        <f t="shared" si="2"/>
        <v>108</v>
      </c>
      <c r="AD6" s="217" t="e">
        <f t="shared" si="3"/>
        <v>#VALUE!</v>
      </c>
      <c r="AE6" s="217" t="e">
        <f t="shared" si="29"/>
        <v>#VALUE!</v>
      </c>
      <c r="AF6" s="227" t="str">
        <f t="shared" si="5"/>
        <v>108年8月1日</v>
      </c>
      <c r="AG6" s="219" t="e">
        <f t="shared" si="6"/>
        <v>#VALUE!</v>
      </c>
      <c r="AH6" s="219" t="e">
        <f t="shared" si="7"/>
        <v>#VALUE!</v>
      </c>
      <c r="AI6" s="206" t="e">
        <f t="shared" si="8"/>
        <v>#VALUE!</v>
      </c>
      <c r="AJ6" s="207" t="e">
        <f t="shared" si="9"/>
        <v>#VALUE!</v>
      </c>
      <c r="AK6" s="217">
        <f>AK4+1</f>
        <v>108</v>
      </c>
      <c r="AL6" s="217" t="e">
        <f t="shared" si="10"/>
        <v>#VALUE!</v>
      </c>
      <c r="AM6" s="220" t="e">
        <f t="shared" si="11"/>
        <v>#VALUE!</v>
      </c>
      <c r="AN6" s="220" t="e">
        <f t="shared" si="12"/>
        <v>#VALUE!</v>
      </c>
      <c r="AO6" s="220" t="e">
        <f t="shared" si="13"/>
        <v>#VALUE!</v>
      </c>
      <c r="AP6" s="221" t="e">
        <f t="shared" si="14"/>
        <v>#VALUE!</v>
      </c>
      <c r="AQ6" s="221" t="e">
        <f t="shared" si="15"/>
        <v>#VALUE!</v>
      </c>
      <c r="AR6" s="222" t="e">
        <f t="shared" si="16"/>
        <v>#VALUE!</v>
      </c>
      <c r="AS6" s="223">
        <f>IF(最早退休日期!$B$2="職員",MAX(IF(ISERROR(DATEVALUE(CONCATENATE(AK6+1911,"/",$AA$1000,"/",$AB$1000))),DATEVALUE(CONCATENATE(AK6+1911,"/",3,"/",1)),DATEVALUE(CONCATENATE(AK6+1911,"/",$AA$1000,"/",$AB$1000))),AR6),DATEVALUE(CONCATENATE(AK6+1911,"/8/1")))</f>
        <v>43678</v>
      </c>
      <c r="AT6" s="224" t="e">
        <f t="shared" si="17"/>
        <v>#VALUE!</v>
      </c>
      <c r="AU6" s="224" t="e">
        <f t="shared" si="18"/>
        <v>#VALUE!</v>
      </c>
      <c r="AV6" s="224" t="e">
        <f t="shared" si="32"/>
        <v>#VALUE!</v>
      </c>
      <c r="AW6" s="224" t="e">
        <f t="shared" si="19"/>
        <v>#VALUE!</v>
      </c>
      <c r="AX6" s="224" t="b">
        <f t="shared" si="20"/>
        <v>1</v>
      </c>
      <c r="AY6" s="224" t="e">
        <f t="shared" si="21"/>
        <v>#VALUE!</v>
      </c>
      <c r="AZ6" s="224" t="b">
        <f t="shared" si="22"/>
        <v>1</v>
      </c>
      <c r="BA6" s="224" t="e">
        <f t="shared" si="33"/>
        <v>#VALUE!</v>
      </c>
      <c r="BB6" s="224" t="e">
        <f t="shared" si="34"/>
        <v>#VALUE!</v>
      </c>
      <c r="BC6" s="224" t="e">
        <f t="shared" si="35"/>
        <v>#VALUE!</v>
      </c>
      <c r="BD6" s="225" t="e">
        <f t="shared" si="23"/>
        <v>#VALUE!</v>
      </c>
      <c r="BE6" s="225" t="e">
        <f t="shared" si="24"/>
        <v>#VALUE!</v>
      </c>
      <c r="BF6" s="225" t="e">
        <f t="shared" si="25"/>
        <v>#VALUE!</v>
      </c>
      <c r="BG6" s="226" t="e">
        <f t="shared" si="26"/>
        <v>#VALUE!</v>
      </c>
      <c r="BH6" s="227" t="e">
        <f t="shared" si="27"/>
        <v>#VALUE!</v>
      </c>
    </row>
    <row r="7" spans="1:60" x14ac:dyDescent="0.25">
      <c r="A7" s="216" t="str">
        <f t="shared" si="36"/>
        <v/>
      </c>
      <c r="B7" s="217" t="str">
        <f t="shared" si="37"/>
        <v/>
      </c>
      <c r="C7" s="217" t="str">
        <f t="shared" si="38"/>
        <v/>
      </c>
      <c r="D7" s="217" t="str">
        <f t="shared" si="39"/>
        <v/>
      </c>
      <c r="E7" s="217" t="str">
        <f t="shared" si="40"/>
        <v/>
      </c>
      <c r="F7" s="217" t="str">
        <f t="shared" si="41"/>
        <v/>
      </c>
      <c r="G7" s="217" t="str">
        <f t="shared" si="42"/>
        <v/>
      </c>
      <c r="H7" s="218" t="str">
        <f t="shared" si="43"/>
        <v/>
      </c>
      <c r="I7" s="219" t="str">
        <f t="shared" si="44"/>
        <v/>
      </c>
      <c r="J7" s="219" t="str">
        <f t="shared" si="45"/>
        <v/>
      </c>
      <c r="K7" s="206" t="str">
        <f t="shared" si="46"/>
        <v/>
      </c>
      <c r="L7" s="272" t="str">
        <f t="shared" si="47"/>
        <v/>
      </c>
      <c r="M7" s="216">
        <f>IF(最早可退休日期!$D$2&lt;&gt;"職員",Y9,IF(AND($AS$3&lt;$AS$2,$AS$4&lt;$AS$2),Y9,IF($AS$3&lt;$AS$2,Y8,Y7)))</f>
        <v>110</v>
      </c>
      <c r="N7" s="217">
        <f>IF(最早可退休日期!$D$2&lt;&gt;"職員",Z9,IF(AND($AS$3&lt;$AS$2,$AS$4&lt;$AS$2),Z9,IF($AS$3&lt;$AS$2,Z8,Z7)))</f>
        <v>79</v>
      </c>
      <c r="O7" s="217">
        <f>IF(最早可退休日期!$D$2&lt;&gt;"職員",AA9,IF(AND($AS$3&lt;$AS$2,$AS$4&lt;$AS$2),AA9,IF($AS$3&lt;$AS$2,AA8,AA7)))</f>
        <v>58</v>
      </c>
      <c r="P7" s="217">
        <f>IF(最早可退休日期!$D$2&lt;&gt;"職員",AB9,IF(AND($AS$3&lt;$AS$2,$AS$4&lt;$AS$2),AB9,IF($AS$3&lt;$AS$2,AB8,AB7)))</f>
        <v>50</v>
      </c>
      <c r="Q7" s="217">
        <f>IF(最早可退休日期!$D$2&lt;&gt;"職員",AC9,IF(AND($AS$3&lt;$AS$2,$AS$4&lt;$AS$2),AC9,IF($AS$3&lt;$AS$2,AC8,AC7)))</f>
        <v>110</v>
      </c>
      <c r="R7" s="217" t="e">
        <f>IF(最早可退休日期!$D$2&lt;&gt;"職員",AD9,IF(AND($AS$3&lt;$AS$2,$AS$4&lt;$AS$2),AD9,IF($AS$3&lt;$AS$2,AD8,AD7)))</f>
        <v>#VALUE!</v>
      </c>
      <c r="S7" s="217" t="e">
        <f>IF(最早可退休日期!$D$2&lt;&gt;"職員",AE9,IF(AND($AS$3&lt;$AS$2,$AS$4&lt;$AS$2),AE9,IF($AS$3&lt;$AS$2,AE8,AE7)))</f>
        <v>#VALUE!</v>
      </c>
      <c r="T7" s="218" t="str">
        <f>IF(最早可退休日期!$D$2&lt;&gt;"職員",AF9,IF(AND($AS$3&lt;$AS$2,$AS$4&lt;$AS$2),AF9,IF($AS$3&lt;$AS$2,AF8,AF7)))</f>
        <v>110年2月1日</v>
      </c>
      <c r="U7" s="219" t="e">
        <f>IF(最早可退休日期!$D$2&lt;&gt;"職員",AG9,IF(AND($AS$3&lt;$AS$2,$AS$4&lt;$AS$2),AG9,IF($AS$3&lt;$AS$2,AG8,AG7)))</f>
        <v>#VALUE!</v>
      </c>
      <c r="V7" s="219" t="e">
        <f>IF(最早可退休日期!$D$2&lt;&gt;"職員",AH9,IF(AND($AS$3&lt;$AS$2,$AS$4&lt;$AS$2),AH9,IF($AS$3&lt;$AS$2,AH8,AH7)))</f>
        <v>#VALUE!</v>
      </c>
      <c r="W7" s="206" t="e">
        <f>IF(最早可退休日期!$D$2&lt;&gt;"職員",AI9,IF(AND($AS$3&lt;$AS$2,$AS$4&lt;$AS$2),AI9,IF($AS$3&lt;$AS$2,AI8,AI7)))</f>
        <v>#VALUE!</v>
      </c>
      <c r="X7" s="207" t="e">
        <f>IF(最早可退休日期!$D$2&lt;&gt;"職員",AJ9,IF(AND($AS$3&lt;$AS$2,$AS$4&lt;$AS$2),AJ9,IF($AS$3&lt;$AS$2,AJ8,AJ7)))</f>
        <v>#VALUE!</v>
      </c>
      <c r="Y7" s="217">
        <f t="shared" si="0"/>
        <v>109</v>
      </c>
      <c r="Z7" s="217">
        <f t="shared" si="31"/>
        <v>78</v>
      </c>
      <c r="AA7" s="217">
        <f>IF(最早退休日期!$B$1="中等以下教師",58,IF(Y7&gt;=122,65,IF(Y7&lt;107,50,VLOOKUP(Y7,Legal_Year,3,0))))</f>
        <v>58</v>
      </c>
      <c r="AB7" s="217">
        <f t="shared" si="28"/>
        <v>50</v>
      </c>
      <c r="AC7" s="217">
        <f t="shared" si="2"/>
        <v>109</v>
      </c>
      <c r="AD7" s="217" t="e">
        <f t="shared" si="3"/>
        <v>#VALUE!</v>
      </c>
      <c r="AE7" s="217" t="e">
        <f t="shared" si="29"/>
        <v>#VALUE!</v>
      </c>
      <c r="AF7" s="227" t="str">
        <f t="shared" si="5"/>
        <v>109年2月1日</v>
      </c>
      <c r="AG7" s="219" t="e">
        <f t="shared" si="6"/>
        <v>#VALUE!</v>
      </c>
      <c r="AH7" s="219" t="e">
        <f t="shared" si="7"/>
        <v>#VALUE!</v>
      </c>
      <c r="AI7" s="206" t="e">
        <f t="shared" si="8"/>
        <v>#VALUE!</v>
      </c>
      <c r="AJ7" s="207" t="e">
        <f t="shared" si="9"/>
        <v>#VALUE!</v>
      </c>
      <c r="AK7" s="217">
        <f>AK5+1</f>
        <v>109</v>
      </c>
      <c r="AL7" s="217" t="e">
        <f t="shared" si="10"/>
        <v>#VALUE!</v>
      </c>
      <c r="AM7" s="220" t="e">
        <f t="shared" si="11"/>
        <v>#VALUE!</v>
      </c>
      <c r="AN7" s="220" t="e">
        <f t="shared" si="12"/>
        <v>#VALUE!</v>
      </c>
      <c r="AO7" s="220" t="e">
        <f t="shared" si="13"/>
        <v>#VALUE!</v>
      </c>
      <c r="AP7" s="221" t="e">
        <f t="shared" si="14"/>
        <v>#VALUE!</v>
      </c>
      <c r="AQ7" s="221" t="e">
        <f t="shared" si="15"/>
        <v>#VALUE!</v>
      </c>
      <c r="AR7" s="222" t="e">
        <f t="shared" si="16"/>
        <v>#VALUE!</v>
      </c>
      <c r="AS7" s="223">
        <f>IF(最早退休日期!$B$2="職員",MIN(IF(ISERROR(DATEVALUE(CONCATENATE(AK7+1911,"/",$AA$1000,"/",$AB$1000))),DATEVALUE(CONCATENATE(AK7+1911,"/",3,"/",1)),DATEVALUE(CONCATENATE(AK7+1911,"/",$AA$1000,"/",$AB$1000))),AR7),DATEVALUE(CONCATENATE(AK7+1911,"/2/1")))</f>
        <v>43862</v>
      </c>
      <c r="AT7" s="224" t="e">
        <f t="shared" si="17"/>
        <v>#VALUE!</v>
      </c>
      <c r="AU7" s="224" t="e">
        <f t="shared" si="18"/>
        <v>#VALUE!</v>
      </c>
      <c r="AV7" s="224" t="e">
        <f t="shared" si="32"/>
        <v>#VALUE!</v>
      </c>
      <c r="AW7" s="224" t="e">
        <f t="shared" si="19"/>
        <v>#VALUE!</v>
      </c>
      <c r="AX7" s="224" t="b">
        <f t="shared" si="20"/>
        <v>1</v>
      </c>
      <c r="AY7" s="224" t="e">
        <f t="shared" si="21"/>
        <v>#VALUE!</v>
      </c>
      <c r="AZ7" s="224" t="b">
        <f t="shared" si="22"/>
        <v>1</v>
      </c>
      <c r="BA7" s="224" t="e">
        <f t="shared" si="33"/>
        <v>#VALUE!</v>
      </c>
      <c r="BB7" s="224" t="e">
        <f t="shared" si="34"/>
        <v>#VALUE!</v>
      </c>
      <c r="BC7" s="224" t="e">
        <f t="shared" si="35"/>
        <v>#VALUE!</v>
      </c>
      <c r="BD7" s="225" t="e">
        <f t="shared" si="23"/>
        <v>#VALUE!</v>
      </c>
      <c r="BE7" s="225" t="e">
        <f t="shared" si="24"/>
        <v>#VALUE!</v>
      </c>
      <c r="BF7" s="225" t="e">
        <f t="shared" si="25"/>
        <v>#VALUE!</v>
      </c>
      <c r="BG7" s="226" t="e">
        <f t="shared" si="26"/>
        <v>#VALUE!</v>
      </c>
      <c r="BH7" s="227" t="e">
        <f t="shared" si="27"/>
        <v>#VALUE!</v>
      </c>
    </row>
    <row r="8" spans="1:60" x14ac:dyDescent="0.25">
      <c r="A8" s="216" t="str">
        <f t="shared" si="36"/>
        <v/>
      </c>
      <c r="B8" s="217" t="str">
        <f t="shared" si="37"/>
        <v/>
      </c>
      <c r="C8" s="217" t="str">
        <f t="shared" si="38"/>
        <v/>
      </c>
      <c r="D8" s="217" t="str">
        <f t="shared" si="39"/>
        <v/>
      </c>
      <c r="E8" s="217" t="str">
        <f t="shared" si="40"/>
        <v/>
      </c>
      <c r="F8" s="217" t="str">
        <f t="shared" si="41"/>
        <v/>
      </c>
      <c r="G8" s="217" t="str">
        <f t="shared" si="42"/>
        <v/>
      </c>
      <c r="H8" s="218" t="str">
        <f t="shared" si="43"/>
        <v/>
      </c>
      <c r="I8" s="219" t="str">
        <f t="shared" si="44"/>
        <v/>
      </c>
      <c r="J8" s="219" t="str">
        <f t="shared" si="45"/>
        <v/>
      </c>
      <c r="K8" s="206" t="str">
        <f t="shared" si="46"/>
        <v/>
      </c>
      <c r="L8" s="272" t="str">
        <f t="shared" si="47"/>
        <v/>
      </c>
      <c r="M8" s="216">
        <f>IF(最早可退休日期!$D$2&lt;&gt;"職員",Y10,IF(AND($AS$3&lt;$AS$2,$AS$4&lt;$AS$2),Y10,IF($AS$3&lt;$AS$2,Y9,Y8)))</f>
        <v>110</v>
      </c>
      <c r="N8" s="217">
        <f>IF(最早可退休日期!$D$2&lt;&gt;"職員",Z10,IF(AND($AS$3&lt;$AS$2,$AS$4&lt;$AS$2),Z10,IF($AS$3&lt;$AS$2,Z9,Z8)))</f>
        <v>79</v>
      </c>
      <c r="O8" s="217">
        <f>IF(最早可退休日期!$D$2&lt;&gt;"職員",AA10,IF(AND($AS$3&lt;$AS$2,$AS$4&lt;$AS$2),AA10,IF($AS$3&lt;$AS$2,AA9,AA8)))</f>
        <v>58</v>
      </c>
      <c r="P8" s="217">
        <f>IF(最早可退休日期!$D$2&lt;&gt;"職員",AB10,IF(AND($AS$3&lt;$AS$2,$AS$4&lt;$AS$2),AB10,IF($AS$3&lt;$AS$2,AB9,AB8)))</f>
        <v>50</v>
      </c>
      <c r="Q8" s="217">
        <f>IF(最早可退休日期!$D$2&lt;&gt;"職員",AC10,IF(AND($AS$3&lt;$AS$2,$AS$4&lt;$AS$2),AC10,IF($AS$3&lt;$AS$2,AC9,AC8)))</f>
        <v>110</v>
      </c>
      <c r="R8" s="217" t="e">
        <f>IF(最早可退休日期!$D$2&lt;&gt;"職員",AD10,IF(AND($AS$3&lt;$AS$2,$AS$4&lt;$AS$2),AD10,IF($AS$3&lt;$AS$2,AD9,AD8)))</f>
        <v>#VALUE!</v>
      </c>
      <c r="S8" s="217" t="e">
        <f>IF(最早可退休日期!$D$2&lt;&gt;"職員",AE10,IF(AND($AS$3&lt;$AS$2,$AS$4&lt;$AS$2),AE10,IF($AS$3&lt;$AS$2,AE9,AE8)))</f>
        <v>#VALUE!</v>
      </c>
      <c r="T8" s="218" t="str">
        <f>IF(最早可退休日期!$D$2&lt;&gt;"職員",AF10,IF(AND($AS$3&lt;$AS$2,$AS$4&lt;$AS$2),AF10,IF($AS$3&lt;$AS$2,AF9,AF8)))</f>
        <v>110年8月1日</v>
      </c>
      <c r="U8" s="219" t="e">
        <f>IF(最早可退休日期!$D$2&lt;&gt;"職員",AG10,IF(AND($AS$3&lt;$AS$2,$AS$4&lt;$AS$2),AG10,IF($AS$3&lt;$AS$2,AG9,AG8)))</f>
        <v>#VALUE!</v>
      </c>
      <c r="V8" s="219" t="e">
        <f>IF(最早可退休日期!$D$2&lt;&gt;"職員",AH10,IF(AND($AS$3&lt;$AS$2,$AS$4&lt;$AS$2),AH10,IF($AS$3&lt;$AS$2,AH9,AH8)))</f>
        <v>#VALUE!</v>
      </c>
      <c r="W8" s="206" t="e">
        <f>IF(最早可退休日期!$D$2&lt;&gt;"職員",AI10,IF(AND($AS$3&lt;$AS$2,$AS$4&lt;$AS$2),AI10,IF($AS$3&lt;$AS$2,AI9,AI8)))</f>
        <v>#VALUE!</v>
      </c>
      <c r="X8" s="207" t="e">
        <f>IF(最早可退休日期!$D$2&lt;&gt;"職員",AJ10,IF(AND($AS$3&lt;$AS$2,$AS$4&lt;$AS$2),AJ10,IF($AS$3&lt;$AS$2,AJ9,AJ8)))</f>
        <v>#VALUE!</v>
      </c>
      <c r="Y8" s="217">
        <f t="shared" si="0"/>
        <v>109</v>
      </c>
      <c r="Z8" s="217">
        <f t="shared" si="31"/>
        <v>78</v>
      </c>
      <c r="AA8" s="217">
        <f>IF(最早退休日期!$B$1="中等以下教師",58,IF(Y8&gt;=122,65,IF(Y8&lt;107,50,VLOOKUP(Y8,Legal_Year,3,0))))</f>
        <v>58</v>
      </c>
      <c r="AB8" s="217">
        <f t="shared" si="28"/>
        <v>50</v>
      </c>
      <c r="AC8" s="217">
        <f t="shared" si="2"/>
        <v>109</v>
      </c>
      <c r="AD8" s="217" t="e">
        <f t="shared" si="3"/>
        <v>#VALUE!</v>
      </c>
      <c r="AE8" s="217" t="e">
        <f t="shared" si="29"/>
        <v>#VALUE!</v>
      </c>
      <c r="AF8" s="227" t="str">
        <f t="shared" si="5"/>
        <v>109年8月1日</v>
      </c>
      <c r="AG8" s="219" t="e">
        <f t="shared" si="6"/>
        <v>#VALUE!</v>
      </c>
      <c r="AH8" s="219" t="e">
        <f t="shared" si="7"/>
        <v>#VALUE!</v>
      </c>
      <c r="AI8" s="206" t="e">
        <f t="shared" si="8"/>
        <v>#VALUE!</v>
      </c>
      <c r="AJ8" s="207" t="e">
        <f t="shared" si="9"/>
        <v>#VALUE!</v>
      </c>
      <c r="AK8" s="217">
        <f>AK6+1</f>
        <v>109</v>
      </c>
      <c r="AL8" s="217" t="e">
        <f t="shared" si="10"/>
        <v>#VALUE!</v>
      </c>
      <c r="AM8" s="220" t="e">
        <f t="shared" si="11"/>
        <v>#VALUE!</v>
      </c>
      <c r="AN8" s="220" t="e">
        <f t="shared" si="12"/>
        <v>#VALUE!</v>
      </c>
      <c r="AO8" s="220" t="e">
        <f t="shared" si="13"/>
        <v>#VALUE!</v>
      </c>
      <c r="AP8" s="221" t="e">
        <f t="shared" si="14"/>
        <v>#VALUE!</v>
      </c>
      <c r="AQ8" s="221" t="e">
        <f t="shared" si="15"/>
        <v>#VALUE!</v>
      </c>
      <c r="AR8" s="222" t="e">
        <f t="shared" si="16"/>
        <v>#VALUE!</v>
      </c>
      <c r="AS8" s="223">
        <f>IF(最早退休日期!$B$2="職員",MAX(IF(ISERROR(DATEVALUE(CONCATENATE(AK8+1911,"/",$AA$1000,"/",$AB$1000))),DATEVALUE(CONCATENATE(AK8+1911,"/",3,"/",1)),DATEVALUE(CONCATENATE(AK8+1911,"/",$AA$1000,"/",$AB$1000))),AR8),DATEVALUE(CONCATENATE(AK8+1911,"/8/1")))</f>
        <v>44044</v>
      </c>
      <c r="AT8" s="224" t="e">
        <f t="shared" si="17"/>
        <v>#VALUE!</v>
      </c>
      <c r="AU8" s="224" t="e">
        <f t="shared" si="18"/>
        <v>#VALUE!</v>
      </c>
      <c r="AV8" s="224" t="e">
        <f t="shared" si="32"/>
        <v>#VALUE!</v>
      </c>
      <c r="AW8" s="224" t="e">
        <f t="shared" si="19"/>
        <v>#VALUE!</v>
      </c>
      <c r="AX8" s="224" t="b">
        <f t="shared" si="20"/>
        <v>1</v>
      </c>
      <c r="AY8" s="224" t="e">
        <f t="shared" si="21"/>
        <v>#VALUE!</v>
      </c>
      <c r="AZ8" s="224" t="b">
        <f t="shared" si="22"/>
        <v>1</v>
      </c>
      <c r="BA8" s="224" t="e">
        <f t="shared" si="33"/>
        <v>#VALUE!</v>
      </c>
      <c r="BB8" s="224" t="e">
        <f t="shared" si="34"/>
        <v>#VALUE!</v>
      </c>
      <c r="BC8" s="224" t="e">
        <f t="shared" si="35"/>
        <v>#VALUE!</v>
      </c>
      <c r="BD8" s="225" t="e">
        <f t="shared" si="23"/>
        <v>#VALUE!</v>
      </c>
      <c r="BE8" s="225" t="e">
        <f t="shared" si="24"/>
        <v>#VALUE!</v>
      </c>
      <c r="BF8" s="225" t="e">
        <f t="shared" si="25"/>
        <v>#VALUE!</v>
      </c>
      <c r="BG8" s="226" t="e">
        <f t="shared" si="26"/>
        <v>#VALUE!</v>
      </c>
      <c r="BH8" s="227" t="e">
        <f t="shared" si="27"/>
        <v>#VALUE!</v>
      </c>
    </row>
    <row r="9" spans="1:60" x14ac:dyDescent="0.25">
      <c r="A9" s="216" t="str">
        <f t="shared" si="36"/>
        <v/>
      </c>
      <c r="B9" s="217" t="str">
        <f t="shared" si="37"/>
        <v/>
      </c>
      <c r="C9" s="217" t="str">
        <f t="shared" si="38"/>
        <v/>
      </c>
      <c r="D9" s="217" t="str">
        <f t="shared" si="39"/>
        <v/>
      </c>
      <c r="E9" s="217" t="str">
        <f t="shared" si="40"/>
        <v/>
      </c>
      <c r="F9" s="217" t="str">
        <f t="shared" si="41"/>
        <v/>
      </c>
      <c r="G9" s="217" t="str">
        <f t="shared" si="42"/>
        <v/>
      </c>
      <c r="H9" s="218" t="str">
        <f t="shared" si="43"/>
        <v/>
      </c>
      <c r="I9" s="219" t="str">
        <f t="shared" si="44"/>
        <v/>
      </c>
      <c r="J9" s="219" t="str">
        <f t="shared" si="45"/>
        <v/>
      </c>
      <c r="K9" s="206" t="str">
        <f t="shared" si="46"/>
        <v/>
      </c>
      <c r="L9" s="272" t="str">
        <f t="shared" si="47"/>
        <v/>
      </c>
      <c r="M9" s="216">
        <f>IF(最早可退休日期!$D$2&lt;&gt;"職員",Y11,IF(AND($AS$3&lt;$AS$2,$AS$4&lt;$AS$2),Y11,IF($AS$3&lt;$AS$2,Y10,Y9)))</f>
        <v>111</v>
      </c>
      <c r="N9" s="217">
        <f>IF(最早可退休日期!$D$2&lt;&gt;"職員",Z11,IF(AND($AS$3&lt;$AS$2,$AS$4&lt;$AS$2),Z11,IF($AS$3&lt;$AS$2,Z10,Z9)))</f>
        <v>80</v>
      </c>
      <c r="O9" s="217">
        <f>IF(最早可退休日期!$D$2&lt;&gt;"職員",AA11,IF(AND($AS$3&lt;$AS$2,$AS$4&lt;$AS$2),AA11,IF($AS$3&lt;$AS$2,AA10,AA9)))</f>
        <v>58</v>
      </c>
      <c r="P9" s="217">
        <f>IF(最早可退休日期!$D$2&lt;&gt;"職員",AB11,IF(AND($AS$3&lt;$AS$2,$AS$4&lt;$AS$2),AB11,IF($AS$3&lt;$AS$2,AB10,AB9)))</f>
        <v>50</v>
      </c>
      <c r="Q9" s="217">
        <f>IF(最早可退休日期!$D$2&lt;&gt;"職員",AC11,IF(AND($AS$3&lt;$AS$2,$AS$4&lt;$AS$2),AC11,IF($AS$3&lt;$AS$2,AC10,AC9)))</f>
        <v>111</v>
      </c>
      <c r="R9" s="217" t="e">
        <f>IF(最早可退休日期!$D$2&lt;&gt;"職員",AD11,IF(AND($AS$3&lt;$AS$2,$AS$4&lt;$AS$2),AD11,IF($AS$3&lt;$AS$2,AD10,AD9)))</f>
        <v>#VALUE!</v>
      </c>
      <c r="S9" s="217" t="e">
        <f>IF(最早可退休日期!$D$2&lt;&gt;"職員",AE11,IF(AND($AS$3&lt;$AS$2,$AS$4&lt;$AS$2),AE11,IF($AS$3&lt;$AS$2,AE10,AE9)))</f>
        <v>#VALUE!</v>
      </c>
      <c r="T9" s="218" t="str">
        <f>IF(最早可退休日期!$D$2&lt;&gt;"職員",AF11,IF(AND($AS$3&lt;$AS$2,$AS$4&lt;$AS$2),AF11,IF($AS$3&lt;$AS$2,AF10,AF9)))</f>
        <v>111年2月1日</v>
      </c>
      <c r="U9" s="219" t="e">
        <f>IF(最早可退休日期!$D$2&lt;&gt;"職員",AG11,IF(AND($AS$3&lt;$AS$2,$AS$4&lt;$AS$2),AG11,IF($AS$3&lt;$AS$2,AG10,AG9)))</f>
        <v>#VALUE!</v>
      </c>
      <c r="V9" s="219" t="e">
        <f>IF(最早可退休日期!$D$2&lt;&gt;"職員",AH11,IF(AND($AS$3&lt;$AS$2,$AS$4&lt;$AS$2),AH11,IF($AS$3&lt;$AS$2,AH10,AH9)))</f>
        <v>#VALUE!</v>
      </c>
      <c r="W9" s="206" t="e">
        <f>IF(最早可退休日期!$D$2&lt;&gt;"職員",AI11,IF(AND($AS$3&lt;$AS$2,$AS$4&lt;$AS$2),AI11,IF($AS$3&lt;$AS$2,AI10,AI9)))</f>
        <v>#VALUE!</v>
      </c>
      <c r="X9" s="207" t="e">
        <f>IF(最早可退休日期!$D$2&lt;&gt;"職員",AJ11,IF(AND($AS$3&lt;$AS$2,$AS$4&lt;$AS$2),AJ11,IF($AS$3&lt;$AS$2,AJ10,AJ9)))</f>
        <v>#VALUE!</v>
      </c>
      <c r="Y9" s="217">
        <f t="shared" si="0"/>
        <v>110</v>
      </c>
      <c r="Z9" s="217">
        <f t="shared" si="31"/>
        <v>79</v>
      </c>
      <c r="AA9" s="217">
        <f>IF(最早退休日期!$B$1="中等以下教師",58,IF(Y9&gt;=122,65,IF(Y9&lt;107,50,VLOOKUP(Y9,Legal_Year,3,0))))</f>
        <v>58</v>
      </c>
      <c r="AB9" s="217">
        <f t="shared" si="28"/>
        <v>50</v>
      </c>
      <c r="AC9" s="217">
        <f t="shared" si="2"/>
        <v>110</v>
      </c>
      <c r="AD9" s="217" t="e">
        <f t="shared" si="3"/>
        <v>#VALUE!</v>
      </c>
      <c r="AE9" s="217" t="e">
        <f t="shared" si="29"/>
        <v>#VALUE!</v>
      </c>
      <c r="AF9" s="227" t="str">
        <f t="shared" si="5"/>
        <v>110年2月1日</v>
      </c>
      <c r="AG9" s="219" t="e">
        <f t="shared" si="6"/>
        <v>#VALUE!</v>
      </c>
      <c r="AH9" s="219" t="e">
        <f t="shared" si="7"/>
        <v>#VALUE!</v>
      </c>
      <c r="AI9" s="206" t="e">
        <f t="shared" si="8"/>
        <v>#VALUE!</v>
      </c>
      <c r="AJ9" s="207" t="e">
        <f t="shared" si="9"/>
        <v>#VALUE!</v>
      </c>
      <c r="AK9" s="217">
        <f t="shared" ref="AK9:AK72" si="48">AK7+1</f>
        <v>110</v>
      </c>
      <c r="AL9" s="217" t="e">
        <f t="shared" si="10"/>
        <v>#VALUE!</v>
      </c>
      <c r="AM9" s="220" t="e">
        <f t="shared" si="11"/>
        <v>#VALUE!</v>
      </c>
      <c r="AN9" s="220" t="e">
        <f t="shared" si="12"/>
        <v>#VALUE!</v>
      </c>
      <c r="AO9" s="220" t="e">
        <f t="shared" si="13"/>
        <v>#VALUE!</v>
      </c>
      <c r="AP9" s="221" t="e">
        <f t="shared" si="14"/>
        <v>#VALUE!</v>
      </c>
      <c r="AQ9" s="221" t="e">
        <f t="shared" si="15"/>
        <v>#VALUE!</v>
      </c>
      <c r="AR9" s="222" t="e">
        <f t="shared" si="16"/>
        <v>#VALUE!</v>
      </c>
      <c r="AS9" s="223">
        <f>IF(最早退休日期!$B$2="職員",MIN(IF(ISERROR(DATEVALUE(CONCATENATE(AK9+1911,"/",$AA$1000,"/",$AB$1000))),DATEVALUE(CONCATENATE(AK9+1911,"/",3,"/",1)),DATEVALUE(CONCATENATE(AK9+1911,"/",$AA$1000,"/",$AB$1000))),AR9),DATEVALUE(CONCATENATE(AK9+1911,"/2/1")))</f>
        <v>44228</v>
      </c>
      <c r="AT9" s="224" t="e">
        <f t="shared" si="17"/>
        <v>#VALUE!</v>
      </c>
      <c r="AU9" s="224" t="e">
        <f t="shared" si="18"/>
        <v>#VALUE!</v>
      </c>
      <c r="AV9" s="224" t="e">
        <f t="shared" si="32"/>
        <v>#VALUE!</v>
      </c>
      <c r="AW9" s="224" t="e">
        <f t="shared" si="19"/>
        <v>#VALUE!</v>
      </c>
      <c r="AX9" s="224" t="b">
        <f t="shared" si="20"/>
        <v>1</v>
      </c>
      <c r="AY9" s="224" t="e">
        <f t="shared" si="21"/>
        <v>#VALUE!</v>
      </c>
      <c r="AZ9" s="224" t="b">
        <f t="shared" si="22"/>
        <v>1</v>
      </c>
      <c r="BA9" s="224" t="e">
        <f t="shared" si="33"/>
        <v>#VALUE!</v>
      </c>
      <c r="BB9" s="224" t="e">
        <f t="shared" si="34"/>
        <v>#VALUE!</v>
      </c>
      <c r="BC9" s="224" t="e">
        <f t="shared" si="35"/>
        <v>#VALUE!</v>
      </c>
      <c r="BD9" s="225" t="e">
        <f t="shared" si="23"/>
        <v>#VALUE!</v>
      </c>
      <c r="BE9" s="225" t="e">
        <f t="shared" si="24"/>
        <v>#VALUE!</v>
      </c>
      <c r="BF9" s="225" t="e">
        <f t="shared" si="25"/>
        <v>#VALUE!</v>
      </c>
      <c r="BG9" s="226" t="e">
        <f t="shared" si="26"/>
        <v>#VALUE!</v>
      </c>
      <c r="BH9" s="227" t="e">
        <f t="shared" si="27"/>
        <v>#VALUE!</v>
      </c>
    </row>
    <row r="10" spans="1:60" x14ac:dyDescent="0.25">
      <c r="A10" s="216" t="str">
        <f t="shared" si="36"/>
        <v/>
      </c>
      <c r="B10" s="217" t="str">
        <f t="shared" si="37"/>
        <v/>
      </c>
      <c r="C10" s="217" t="str">
        <f t="shared" si="38"/>
        <v/>
      </c>
      <c r="D10" s="217" t="str">
        <f t="shared" si="39"/>
        <v/>
      </c>
      <c r="E10" s="217" t="str">
        <f t="shared" si="40"/>
        <v/>
      </c>
      <c r="F10" s="217" t="str">
        <f t="shared" si="41"/>
        <v/>
      </c>
      <c r="G10" s="217" t="str">
        <f t="shared" si="42"/>
        <v/>
      </c>
      <c r="H10" s="218" t="str">
        <f t="shared" si="43"/>
        <v/>
      </c>
      <c r="I10" s="219" t="str">
        <f t="shared" si="44"/>
        <v/>
      </c>
      <c r="J10" s="219" t="str">
        <f t="shared" si="45"/>
        <v/>
      </c>
      <c r="K10" s="206" t="str">
        <f t="shared" si="46"/>
        <v/>
      </c>
      <c r="L10" s="272" t="str">
        <f t="shared" si="47"/>
        <v/>
      </c>
      <c r="M10" s="216">
        <f>IF(最早可退休日期!$D$2&lt;&gt;"職員",Y12,IF(AND($AS$3&lt;$AS$2,$AS$4&lt;$AS$2),Y12,IF($AS$3&lt;$AS$2,Y11,Y10)))</f>
        <v>111</v>
      </c>
      <c r="N10" s="217">
        <f>IF(最早可退休日期!$D$2&lt;&gt;"職員",Z12,IF(AND($AS$3&lt;$AS$2,$AS$4&lt;$AS$2),Z12,IF($AS$3&lt;$AS$2,Z11,Z10)))</f>
        <v>80</v>
      </c>
      <c r="O10" s="217">
        <f>IF(最早可退休日期!$D$2&lt;&gt;"職員",AA12,IF(AND($AS$3&lt;$AS$2,$AS$4&lt;$AS$2),AA12,IF($AS$3&lt;$AS$2,AA11,AA10)))</f>
        <v>58</v>
      </c>
      <c r="P10" s="217">
        <f>IF(最早可退休日期!$D$2&lt;&gt;"職員",AB12,IF(AND($AS$3&lt;$AS$2,$AS$4&lt;$AS$2),AB12,IF($AS$3&lt;$AS$2,AB11,AB10)))</f>
        <v>50</v>
      </c>
      <c r="Q10" s="217">
        <f>IF(最早可退休日期!$D$2&lt;&gt;"職員",AC12,IF(AND($AS$3&lt;$AS$2,$AS$4&lt;$AS$2),AC12,IF($AS$3&lt;$AS$2,AC11,AC10)))</f>
        <v>111</v>
      </c>
      <c r="R10" s="217" t="e">
        <f>IF(最早可退休日期!$D$2&lt;&gt;"職員",AD12,IF(AND($AS$3&lt;$AS$2,$AS$4&lt;$AS$2),AD12,IF($AS$3&lt;$AS$2,AD11,AD10)))</f>
        <v>#VALUE!</v>
      </c>
      <c r="S10" s="217" t="e">
        <f>IF(最早可退休日期!$D$2&lt;&gt;"職員",AE12,IF(AND($AS$3&lt;$AS$2,$AS$4&lt;$AS$2),AE12,IF($AS$3&lt;$AS$2,AE11,AE10)))</f>
        <v>#VALUE!</v>
      </c>
      <c r="T10" s="218" t="str">
        <f>IF(最早可退休日期!$D$2&lt;&gt;"職員",AF12,IF(AND($AS$3&lt;$AS$2,$AS$4&lt;$AS$2),AF12,IF($AS$3&lt;$AS$2,AF11,AF10)))</f>
        <v>111年8月1日</v>
      </c>
      <c r="U10" s="219" t="e">
        <f>IF(最早可退休日期!$D$2&lt;&gt;"職員",AG12,IF(AND($AS$3&lt;$AS$2,$AS$4&lt;$AS$2),AG12,IF($AS$3&lt;$AS$2,AG11,AG10)))</f>
        <v>#VALUE!</v>
      </c>
      <c r="V10" s="219" t="e">
        <f>IF(最早可退休日期!$D$2&lt;&gt;"職員",AH12,IF(AND($AS$3&lt;$AS$2,$AS$4&lt;$AS$2),AH12,IF($AS$3&lt;$AS$2,AH11,AH10)))</f>
        <v>#VALUE!</v>
      </c>
      <c r="W10" s="206" t="e">
        <f>IF(最早可退休日期!$D$2&lt;&gt;"職員",AI12,IF(AND($AS$3&lt;$AS$2,$AS$4&lt;$AS$2),AI12,IF($AS$3&lt;$AS$2,AI11,AI10)))</f>
        <v>#VALUE!</v>
      </c>
      <c r="X10" s="207" t="e">
        <f>IF(最早可退休日期!$D$2&lt;&gt;"職員",AJ12,IF(AND($AS$3&lt;$AS$2,$AS$4&lt;$AS$2),AJ12,IF($AS$3&lt;$AS$2,AJ11,AJ10)))</f>
        <v>#VALUE!</v>
      </c>
      <c r="Y10" s="217">
        <f t="shared" si="0"/>
        <v>110</v>
      </c>
      <c r="Z10" s="217">
        <f t="shared" si="31"/>
        <v>79</v>
      </c>
      <c r="AA10" s="217">
        <f>IF(最早退休日期!$B$1="中等以下教師",58,IF(Y10&gt;=122,65,IF(Y10&lt;107,50,VLOOKUP(Y10,Legal_Year,3,0))))</f>
        <v>58</v>
      </c>
      <c r="AB10" s="217">
        <f t="shared" si="28"/>
        <v>50</v>
      </c>
      <c r="AC10" s="217">
        <f t="shared" si="2"/>
        <v>110</v>
      </c>
      <c r="AD10" s="217" t="e">
        <f t="shared" si="3"/>
        <v>#VALUE!</v>
      </c>
      <c r="AE10" s="217" t="e">
        <f t="shared" si="29"/>
        <v>#VALUE!</v>
      </c>
      <c r="AF10" s="227" t="str">
        <f t="shared" si="5"/>
        <v>110年8月1日</v>
      </c>
      <c r="AG10" s="219" t="e">
        <f t="shared" si="6"/>
        <v>#VALUE!</v>
      </c>
      <c r="AH10" s="219" t="e">
        <f t="shared" si="7"/>
        <v>#VALUE!</v>
      </c>
      <c r="AI10" s="206" t="e">
        <f t="shared" si="8"/>
        <v>#VALUE!</v>
      </c>
      <c r="AJ10" s="207" t="e">
        <f t="shared" si="9"/>
        <v>#VALUE!</v>
      </c>
      <c r="AK10" s="217">
        <f t="shared" si="48"/>
        <v>110</v>
      </c>
      <c r="AL10" s="217" t="e">
        <f t="shared" si="10"/>
        <v>#VALUE!</v>
      </c>
      <c r="AM10" s="220" t="e">
        <f t="shared" si="11"/>
        <v>#VALUE!</v>
      </c>
      <c r="AN10" s="220" t="e">
        <f t="shared" si="12"/>
        <v>#VALUE!</v>
      </c>
      <c r="AO10" s="220" t="e">
        <f t="shared" si="13"/>
        <v>#VALUE!</v>
      </c>
      <c r="AP10" s="221" t="e">
        <f t="shared" si="14"/>
        <v>#VALUE!</v>
      </c>
      <c r="AQ10" s="221" t="e">
        <f t="shared" si="15"/>
        <v>#VALUE!</v>
      </c>
      <c r="AR10" s="222" t="e">
        <f t="shared" si="16"/>
        <v>#VALUE!</v>
      </c>
      <c r="AS10" s="223">
        <f>IF(最早退休日期!$B$2="職員",MAX(IF(ISERROR(DATEVALUE(CONCATENATE(AK10+1911,"/",$AA$1000,"/",$AB$1000))),DATEVALUE(CONCATENATE(AK10+1911,"/",3,"/",1)),DATEVALUE(CONCATENATE(AK10+1911,"/",$AA$1000,"/",$AB$1000))),AR10),DATEVALUE(CONCATENATE(AK10+1911,"/8/1")))</f>
        <v>44409</v>
      </c>
      <c r="AT10" s="224" t="e">
        <f t="shared" si="17"/>
        <v>#VALUE!</v>
      </c>
      <c r="AU10" s="224" t="e">
        <f t="shared" si="18"/>
        <v>#VALUE!</v>
      </c>
      <c r="AV10" s="224" t="e">
        <f t="shared" si="32"/>
        <v>#VALUE!</v>
      </c>
      <c r="AW10" s="224" t="e">
        <f t="shared" si="19"/>
        <v>#VALUE!</v>
      </c>
      <c r="AX10" s="224" t="b">
        <f t="shared" si="20"/>
        <v>1</v>
      </c>
      <c r="AY10" s="224" t="e">
        <f t="shared" si="21"/>
        <v>#VALUE!</v>
      </c>
      <c r="AZ10" s="224" t="b">
        <f t="shared" si="22"/>
        <v>1</v>
      </c>
      <c r="BA10" s="224" t="e">
        <f t="shared" si="33"/>
        <v>#VALUE!</v>
      </c>
      <c r="BB10" s="224" t="e">
        <f t="shared" si="34"/>
        <v>#VALUE!</v>
      </c>
      <c r="BC10" s="224" t="e">
        <f t="shared" si="35"/>
        <v>#VALUE!</v>
      </c>
      <c r="BD10" s="225" t="e">
        <f t="shared" si="23"/>
        <v>#VALUE!</v>
      </c>
      <c r="BE10" s="225" t="e">
        <f t="shared" si="24"/>
        <v>#VALUE!</v>
      </c>
      <c r="BF10" s="225" t="e">
        <f t="shared" si="25"/>
        <v>#VALUE!</v>
      </c>
      <c r="BG10" s="226" t="e">
        <f t="shared" si="26"/>
        <v>#VALUE!</v>
      </c>
      <c r="BH10" s="227" t="e">
        <f t="shared" si="27"/>
        <v>#VALUE!</v>
      </c>
    </row>
    <row r="11" spans="1:60" x14ac:dyDescent="0.25">
      <c r="A11" s="216" t="str">
        <f t="shared" si="36"/>
        <v/>
      </c>
      <c r="B11" s="217" t="str">
        <f t="shared" si="37"/>
        <v/>
      </c>
      <c r="C11" s="217" t="str">
        <f t="shared" si="38"/>
        <v/>
      </c>
      <c r="D11" s="217" t="str">
        <f t="shared" si="39"/>
        <v/>
      </c>
      <c r="E11" s="217" t="str">
        <f t="shared" si="40"/>
        <v/>
      </c>
      <c r="F11" s="217" t="str">
        <f t="shared" si="41"/>
        <v/>
      </c>
      <c r="G11" s="217" t="str">
        <f t="shared" si="42"/>
        <v/>
      </c>
      <c r="H11" s="218" t="str">
        <f t="shared" si="43"/>
        <v/>
      </c>
      <c r="I11" s="219" t="str">
        <f t="shared" si="44"/>
        <v/>
      </c>
      <c r="J11" s="219" t="str">
        <f t="shared" si="45"/>
        <v/>
      </c>
      <c r="K11" s="206" t="str">
        <f t="shared" si="46"/>
        <v/>
      </c>
      <c r="L11" s="272" t="str">
        <f t="shared" si="47"/>
        <v/>
      </c>
      <c r="M11" s="216">
        <f>IF(最早可退休日期!$D$2&lt;&gt;"職員",Y13,IF(AND($AS$3&lt;$AS$2,$AS$4&lt;$AS$2),Y13,IF($AS$3&lt;$AS$2,Y12,Y11)))</f>
        <v>112</v>
      </c>
      <c r="N11" s="217">
        <f>IF(最早可退休日期!$D$2&lt;&gt;"職員",Z13,IF(AND($AS$3&lt;$AS$2,$AS$4&lt;$AS$2),Z13,IF($AS$3&lt;$AS$2,Z12,Z11)))</f>
        <v>81</v>
      </c>
      <c r="O11" s="217">
        <f>IF(最早可退休日期!$D$2&lt;&gt;"職員",AA13,IF(AND($AS$3&lt;$AS$2,$AS$4&lt;$AS$2),AA13,IF($AS$3&lt;$AS$2,AA12,AA11)))</f>
        <v>58</v>
      </c>
      <c r="P11" s="217">
        <f>IF(最早可退休日期!$D$2&lt;&gt;"職員",AB13,IF(AND($AS$3&lt;$AS$2,$AS$4&lt;$AS$2),AB13,IF($AS$3&lt;$AS$2,AB12,AB11)))</f>
        <v>50</v>
      </c>
      <c r="Q11" s="217">
        <f>IF(最早可退休日期!$D$2&lt;&gt;"職員",AC13,IF(AND($AS$3&lt;$AS$2,$AS$4&lt;$AS$2),AC13,IF($AS$3&lt;$AS$2,AC12,AC11)))</f>
        <v>112</v>
      </c>
      <c r="R11" s="217" t="e">
        <f>IF(最早可退休日期!$D$2&lt;&gt;"職員",AD13,IF(AND($AS$3&lt;$AS$2,$AS$4&lt;$AS$2),AD13,IF($AS$3&lt;$AS$2,AD12,AD11)))</f>
        <v>#VALUE!</v>
      </c>
      <c r="S11" s="217" t="e">
        <f>IF(最早可退休日期!$D$2&lt;&gt;"職員",AE13,IF(AND($AS$3&lt;$AS$2,$AS$4&lt;$AS$2),AE13,IF($AS$3&lt;$AS$2,AE12,AE11)))</f>
        <v>#VALUE!</v>
      </c>
      <c r="T11" s="218" t="str">
        <f>IF(最早可退休日期!$D$2&lt;&gt;"職員",AF13,IF(AND($AS$3&lt;$AS$2,$AS$4&lt;$AS$2),AF13,IF($AS$3&lt;$AS$2,AF12,AF11)))</f>
        <v>112年2月1日</v>
      </c>
      <c r="U11" s="219" t="e">
        <f>IF(最早可退休日期!$D$2&lt;&gt;"職員",AG13,IF(AND($AS$3&lt;$AS$2,$AS$4&lt;$AS$2),AG13,IF($AS$3&lt;$AS$2,AG12,AG11)))</f>
        <v>#VALUE!</v>
      </c>
      <c r="V11" s="219" t="e">
        <f>IF(最早可退休日期!$D$2&lt;&gt;"職員",AH13,IF(AND($AS$3&lt;$AS$2,$AS$4&lt;$AS$2),AH13,IF($AS$3&lt;$AS$2,AH12,AH11)))</f>
        <v>#VALUE!</v>
      </c>
      <c r="W11" s="206" t="e">
        <f>IF(最早可退休日期!$D$2&lt;&gt;"職員",AI13,IF(AND($AS$3&lt;$AS$2,$AS$4&lt;$AS$2),AI13,IF($AS$3&lt;$AS$2,AI12,AI11)))</f>
        <v>#VALUE!</v>
      </c>
      <c r="X11" s="207" t="e">
        <f>IF(最早可退休日期!$D$2&lt;&gt;"職員",AJ13,IF(AND($AS$3&lt;$AS$2,$AS$4&lt;$AS$2),AJ13,IF($AS$3&lt;$AS$2,AJ12,AJ11)))</f>
        <v>#VALUE!</v>
      </c>
      <c r="Y11" s="217">
        <f t="shared" si="0"/>
        <v>111</v>
      </c>
      <c r="Z11" s="217">
        <f t="shared" si="31"/>
        <v>80</v>
      </c>
      <c r="AA11" s="217">
        <f>IF(最早退休日期!$B$1="中等以下教師",58,IF(Y11&gt;=122,65,IF(Y11&lt;107,50,VLOOKUP(Y11,Legal_Year,3,0))))</f>
        <v>58</v>
      </c>
      <c r="AB11" s="217">
        <f t="shared" si="28"/>
        <v>50</v>
      </c>
      <c r="AC11" s="217">
        <f t="shared" si="2"/>
        <v>111</v>
      </c>
      <c r="AD11" s="217" t="e">
        <f t="shared" si="3"/>
        <v>#VALUE!</v>
      </c>
      <c r="AE11" s="217" t="e">
        <f t="shared" si="29"/>
        <v>#VALUE!</v>
      </c>
      <c r="AF11" s="227" t="str">
        <f t="shared" si="5"/>
        <v>111年2月1日</v>
      </c>
      <c r="AG11" s="219" t="e">
        <f t="shared" si="6"/>
        <v>#VALUE!</v>
      </c>
      <c r="AH11" s="219" t="e">
        <f t="shared" si="7"/>
        <v>#VALUE!</v>
      </c>
      <c r="AI11" s="206" t="e">
        <f t="shared" si="8"/>
        <v>#VALUE!</v>
      </c>
      <c r="AJ11" s="207" t="e">
        <f t="shared" si="9"/>
        <v>#VALUE!</v>
      </c>
      <c r="AK11" s="217">
        <f t="shared" si="48"/>
        <v>111</v>
      </c>
      <c r="AL11" s="217" t="e">
        <f t="shared" si="10"/>
        <v>#VALUE!</v>
      </c>
      <c r="AM11" s="220" t="e">
        <f t="shared" si="11"/>
        <v>#VALUE!</v>
      </c>
      <c r="AN11" s="220" t="e">
        <f t="shared" si="12"/>
        <v>#VALUE!</v>
      </c>
      <c r="AO11" s="220" t="e">
        <f t="shared" si="13"/>
        <v>#VALUE!</v>
      </c>
      <c r="AP11" s="221" t="e">
        <f t="shared" si="14"/>
        <v>#VALUE!</v>
      </c>
      <c r="AQ11" s="221" t="e">
        <f t="shared" si="15"/>
        <v>#VALUE!</v>
      </c>
      <c r="AR11" s="222" t="e">
        <f t="shared" si="16"/>
        <v>#VALUE!</v>
      </c>
      <c r="AS11" s="223">
        <f>IF(最早退休日期!$B$2="職員",MIN(IF(ISERROR(DATEVALUE(CONCATENATE(AK11+1911,"/",$AA$1000,"/",$AB$1000))),DATEVALUE(CONCATENATE(AK11+1911,"/",3,"/",1)),DATEVALUE(CONCATENATE(AK11+1911,"/",$AA$1000,"/",$AB$1000))),AR11),DATEVALUE(CONCATENATE(AK11+1911,"/2/1")))</f>
        <v>44593</v>
      </c>
      <c r="AT11" s="224" t="e">
        <f t="shared" si="17"/>
        <v>#VALUE!</v>
      </c>
      <c r="AU11" s="224" t="e">
        <f t="shared" si="18"/>
        <v>#VALUE!</v>
      </c>
      <c r="AV11" s="224" t="e">
        <f t="shared" si="32"/>
        <v>#VALUE!</v>
      </c>
      <c r="AW11" s="224" t="e">
        <f t="shared" si="19"/>
        <v>#VALUE!</v>
      </c>
      <c r="AX11" s="224" t="b">
        <f t="shared" si="20"/>
        <v>1</v>
      </c>
      <c r="AY11" s="224" t="e">
        <f t="shared" si="21"/>
        <v>#VALUE!</v>
      </c>
      <c r="AZ11" s="224" t="b">
        <f t="shared" si="22"/>
        <v>1</v>
      </c>
      <c r="BA11" s="224" t="e">
        <f t="shared" si="33"/>
        <v>#VALUE!</v>
      </c>
      <c r="BB11" s="224" t="e">
        <f t="shared" si="34"/>
        <v>#VALUE!</v>
      </c>
      <c r="BC11" s="224" t="e">
        <f t="shared" si="35"/>
        <v>#VALUE!</v>
      </c>
      <c r="BD11" s="225" t="e">
        <f t="shared" si="23"/>
        <v>#VALUE!</v>
      </c>
      <c r="BE11" s="225" t="e">
        <f t="shared" si="24"/>
        <v>#VALUE!</v>
      </c>
      <c r="BF11" s="225" t="e">
        <f t="shared" si="25"/>
        <v>#VALUE!</v>
      </c>
      <c r="BG11" s="226" t="e">
        <f t="shared" si="26"/>
        <v>#VALUE!</v>
      </c>
      <c r="BH11" s="227" t="e">
        <f t="shared" si="27"/>
        <v>#VALUE!</v>
      </c>
    </row>
    <row r="12" spans="1:60" x14ac:dyDescent="0.25">
      <c r="A12" s="216" t="str">
        <f t="shared" si="36"/>
        <v/>
      </c>
      <c r="B12" s="217" t="str">
        <f t="shared" si="37"/>
        <v/>
      </c>
      <c r="C12" s="217" t="str">
        <f t="shared" si="38"/>
        <v/>
      </c>
      <c r="D12" s="217" t="str">
        <f t="shared" si="39"/>
        <v/>
      </c>
      <c r="E12" s="217" t="str">
        <f t="shared" si="40"/>
        <v/>
      </c>
      <c r="F12" s="217" t="str">
        <f t="shared" si="41"/>
        <v/>
      </c>
      <c r="G12" s="217" t="str">
        <f t="shared" si="42"/>
        <v/>
      </c>
      <c r="H12" s="218" t="str">
        <f t="shared" si="43"/>
        <v/>
      </c>
      <c r="I12" s="219" t="str">
        <f t="shared" si="44"/>
        <v/>
      </c>
      <c r="J12" s="219" t="str">
        <f t="shared" si="45"/>
        <v/>
      </c>
      <c r="K12" s="206" t="str">
        <f t="shared" si="46"/>
        <v/>
      </c>
      <c r="L12" s="272" t="str">
        <f t="shared" si="47"/>
        <v/>
      </c>
      <c r="M12" s="216">
        <f>IF(最早可退休日期!$D$2&lt;&gt;"職員",Y14,IF(AND($AS$3&lt;$AS$2,$AS$4&lt;$AS$2),Y14,IF($AS$3&lt;$AS$2,Y13,Y12)))</f>
        <v>112</v>
      </c>
      <c r="N12" s="217">
        <f>IF(最早可退休日期!$D$2&lt;&gt;"職員",Z14,IF(AND($AS$3&lt;$AS$2,$AS$4&lt;$AS$2),Z14,IF($AS$3&lt;$AS$2,Z13,Z12)))</f>
        <v>81</v>
      </c>
      <c r="O12" s="217">
        <f>IF(最早可退休日期!$D$2&lt;&gt;"職員",AA14,IF(AND($AS$3&lt;$AS$2,$AS$4&lt;$AS$2),AA14,IF($AS$3&lt;$AS$2,AA13,AA12)))</f>
        <v>58</v>
      </c>
      <c r="P12" s="217">
        <f>IF(最早可退休日期!$D$2&lt;&gt;"職員",AB14,IF(AND($AS$3&lt;$AS$2,$AS$4&lt;$AS$2),AB14,IF($AS$3&lt;$AS$2,AB13,AB12)))</f>
        <v>50</v>
      </c>
      <c r="Q12" s="217">
        <f>IF(最早可退休日期!$D$2&lt;&gt;"職員",AC14,IF(AND($AS$3&lt;$AS$2,$AS$4&lt;$AS$2),AC14,IF($AS$3&lt;$AS$2,AC13,AC12)))</f>
        <v>112</v>
      </c>
      <c r="R12" s="217" t="e">
        <f>IF(最早可退休日期!$D$2&lt;&gt;"職員",AD14,IF(AND($AS$3&lt;$AS$2,$AS$4&lt;$AS$2),AD14,IF($AS$3&lt;$AS$2,AD13,AD12)))</f>
        <v>#VALUE!</v>
      </c>
      <c r="S12" s="217" t="e">
        <f>IF(最早可退休日期!$D$2&lt;&gt;"職員",AE14,IF(AND($AS$3&lt;$AS$2,$AS$4&lt;$AS$2),AE14,IF($AS$3&lt;$AS$2,AE13,AE12)))</f>
        <v>#VALUE!</v>
      </c>
      <c r="T12" s="218" t="str">
        <f>IF(最早可退休日期!$D$2&lt;&gt;"職員",AF14,IF(AND($AS$3&lt;$AS$2,$AS$4&lt;$AS$2),AF14,IF($AS$3&lt;$AS$2,AF13,AF12)))</f>
        <v>112年8月1日</v>
      </c>
      <c r="U12" s="219" t="e">
        <f>IF(最早可退休日期!$D$2&lt;&gt;"職員",AG14,IF(AND($AS$3&lt;$AS$2,$AS$4&lt;$AS$2),AG14,IF($AS$3&lt;$AS$2,AG13,AG12)))</f>
        <v>#VALUE!</v>
      </c>
      <c r="V12" s="219" t="e">
        <f>IF(最早可退休日期!$D$2&lt;&gt;"職員",AH14,IF(AND($AS$3&lt;$AS$2,$AS$4&lt;$AS$2),AH14,IF($AS$3&lt;$AS$2,AH13,AH12)))</f>
        <v>#VALUE!</v>
      </c>
      <c r="W12" s="206" t="e">
        <f>IF(最早可退休日期!$D$2&lt;&gt;"職員",AI14,IF(AND($AS$3&lt;$AS$2,$AS$4&lt;$AS$2),AI14,IF($AS$3&lt;$AS$2,AI13,AI12)))</f>
        <v>#VALUE!</v>
      </c>
      <c r="X12" s="207" t="e">
        <f>IF(最早可退休日期!$D$2&lt;&gt;"職員",AJ14,IF(AND($AS$3&lt;$AS$2,$AS$4&lt;$AS$2),AJ14,IF($AS$3&lt;$AS$2,AJ13,AJ12)))</f>
        <v>#VALUE!</v>
      </c>
      <c r="Y12" s="217">
        <f t="shared" si="0"/>
        <v>111</v>
      </c>
      <c r="Z12" s="217">
        <f t="shared" si="31"/>
        <v>80</v>
      </c>
      <c r="AA12" s="217">
        <f>IF(最早退休日期!$B$1="中等以下教師",58,IF(Y12&gt;=122,65,IF(Y12&lt;107,50,VLOOKUP(Y12,Legal_Year,3,0))))</f>
        <v>58</v>
      </c>
      <c r="AB12" s="217">
        <f t="shared" si="28"/>
        <v>50</v>
      </c>
      <c r="AC12" s="217">
        <f t="shared" si="2"/>
        <v>111</v>
      </c>
      <c r="AD12" s="217" t="e">
        <f t="shared" si="3"/>
        <v>#VALUE!</v>
      </c>
      <c r="AE12" s="217" t="e">
        <f t="shared" si="29"/>
        <v>#VALUE!</v>
      </c>
      <c r="AF12" s="227" t="str">
        <f t="shared" si="5"/>
        <v>111年8月1日</v>
      </c>
      <c r="AG12" s="219" t="e">
        <f t="shared" si="6"/>
        <v>#VALUE!</v>
      </c>
      <c r="AH12" s="219" t="e">
        <f t="shared" si="7"/>
        <v>#VALUE!</v>
      </c>
      <c r="AI12" s="206" t="e">
        <f t="shared" si="8"/>
        <v>#VALUE!</v>
      </c>
      <c r="AJ12" s="207" t="e">
        <f t="shared" si="9"/>
        <v>#VALUE!</v>
      </c>
      <c r="AK12" s="217">
        <f t="shared" si="48"/>
        <v>111</v>
      </c>
      <c r="AL12" s="217" t="e">
        <f t="shared" si="10"/>
        <v>#VALUE!</v>
      </c>
      <c r="AM12" s="220" t="e">
        <f t="shared" si="11"/>
        <v>#VALUE!</v>
      </c>
      <c r="AN12" s="220" t="e">
        <f t="shared" si="12"/>
        <v>#VALUE!</v>
      </c>
      <c r="AO12" s="220" t="e">
        <f t="shared" si="13"/>
        <v>#VALUE!</v>
      </c>
      <c r="AP12" s="221" t="e">
        <f t="shared" si="14"/>
        <v>#VALUE!</v>
      </c>
      <c r="AQ12" s="221" t="e">
        <f t="shared" si="15"/>
        <v>#VALUE!</v>
      </c>
      <c r="AR12" s="222" t="e">
        <f t="shared" si="16"/>
        <v>#VALUE!</v>
      </c>
      <c r="AS12" s="223">
        <f>IF(最早退休日期!$B$2="職員",MAX(IF(ISERROR(DATEVALUE(CONCATENATE(AK12+1911,"/",$AA$1000,"/",$AB$1000))),DATEVALUE(CONCATENATE(AK12+1911,"/",3,"/",1)),DATEVALUE(CONCATENATE(AK12+1911,"/",$AA$1000,"/",$AB$1000))),AR12),DATEVALUE(CONCATENATE(AK12+1911,"/8/1")))</f>
        <v>44774</v>
      </c>
      <c r="AT12" s="224" t="e">
        <f t="shared" si="17"/>
        <v>#VALUE!</v>
      </c>
      <c r="AU12" s="224" t="e">
        <f t="shared" si="18"/>
        <v>#VALUE!</v>
      </c>
      <c r="AV12" s="224" t="e">
        <f t="shared" si="32"/>
        <v>#VALUE!</v>
      </c>
      <c r="AW12" s="224" t="e">
        <f t="shared" si="19"/>
        <v>#VALUE!</v>
      </c>
      <c r="AX12" s="224" t="b">
        <f t="shared" si="20"/>
        <v>1</v>
      </c>
      <c r="AY12" s="224" t="e">
        <f t="shared" si="21"/>
        <v>#VALUE!</v>
      </c>
      <c r="AZ12" s="224" t="b">
        <f t="shared" si="22"/>
        <v>1</v>
      </c>
      <c r="BA12" s="224" t="e">
        <f t="shared" si="33"/>
        <v>#VALUE!</v>
      </c>
      <c r="BB12" s="224" t="e">
        <f t="shared" si="34"/>
        <v>#VALUE!</v>
      </c>
      <c r="BC12" s="224" t="e">
        <f t="shared" si="35"/>
        <v>#VALUE!</v>
      </c>
      <c r="BD12" s="225" t="e">
        <f t="shared" si="23"/>
        <v>#VALUE!</v>
      </c>
      <c r="BE12" s="225" t="e">
        <f t="shared" si="24"/>
        <v>#VALUE!</v>
      </c>
      <c r="BF12" s="225" t="e">
        <f t="shared" si="25"/>
        <v>#VALUE!</v>
      </c>
      <c r="BG12" s="226" t="e">
        <f t="shared" si="26"/>
        <v>#VALUE!</v>
      </c>
      <c r="BH12" s="227" t="e">
        <f t="shared" si="27"/>
        <v>#VALUE!</v>
      </c>
    </row>
    <row r="13" spans="1:60" x14ac:dyDescent="0.25">
      <c r="A13" s="216" t="str">
        <f t="shared" si="36"/>
        <v/>
      </c>
      <c r="B13" s="217" t="str">
        <f t="shared" si="37"/>
        <v/>
      </c>
      <c r="C13" s="217" t="str">
        <f t="shared" si="38"/>
        <v/>
      </c>
      <c r="D13" s="217" t="str">
        <f t="shared" si="39"/>
        <v/>
      </c>
      <c r="E13" s="217" t="str">
        <f t="shared" si="40"/>
        <v/>
      </c>
      <c r="F13" s="217" t="str">
        <f t="shared" si="41"/>
        <v/>
      </c>
      <c r="G13" s="217" t="str">
        <f t="shared" si="42"/>
        <v/>
      </c>
      <c r="H13" s="218" t="str">
        <f t="shared" si="43"/>
        <v/>
      </c>
      <c r="I13" s="219" t="str">
        <f t="shared" si="44"/>
        <v/>
      </c>
      <c r="J13" s="219" t="str">
        <f t="shared" si="45"/>
        <v/>
      </c>
      <c r="K13" s="206" t="str">
        <f t="shared" si="46"/>
        <v/>
      </c>
      <c r="L13" s="272" t="str">
        <f t="shared" si="47"/>
        <v/>
      </c>
      <c r="M13" s="216">
        <f>IF(最早可退休日期!$D$2&lt;&gt;"職員",Y15,IF(AND($AS$3&lt;$AS$2,$AS$4&lt;$AS$2),Y15,IF($AS$3&lt;$AS$2,Y14,Y13)))</f>
        <v>113</v>
      </c>
      <c r="N13" s="217">
        <f>IF(最早可退休日期!$D$2&lt;&gt;"職員",Z15,IF(AND($AS$3&lt;$AS$2,$AS$4&lt;$AS$2),Z15,IF($AS$3&lt;$AS$2,Z14,Z13)))</f>
        <v>82</v>
      </c>
      <c r="O13" s="217">
        <f>IF(最早可退休日期!$D$2&lt;&gt;"職員",AA15,IF(AND($AS$3&lt;$AS$2,$AS$4&lt;$AS$2),AA15,IF($AS$3&lt;$AS$2,AA14,AA13)))</f>
        <v>58</v>
      </c>
      <c r="P13" s="217">
        <f>IF(最早可退休日期!$D$2&lt;&gt;"職員",AB15,IF(AND($AS$3&lt;$AS$2,$AS$4&lt;$AS$2),AB15,IF($AS$3&lt;$AS$2,AB14,AB13)))</f>
        <v>50</v>
      </c>
      <c r="Q13" s="217">
        <f>IF(最早可退休日期!$D$2&lt;&gt;"職員",AC15,IF(AND($AS$3&lt;$AS$2,$AS$4&lt;$AS$2),AC15,IF($AS$3&lt;$AS$2,AC14,AC13)))</f>
        <v>113</v>
      </c>
      <c r="R13" s="217" t="e">
        <f>IF(最早可退休日期!$D$2&lt;&gt;"職員",AD15,IF(AND($AS$3&lt;$AS$2,$AS$4&lt;$AS$2),AD15,IF($AS$3&lt;$AS$2,AD14,AD13)))</f>
        <v>#VALUE!</v>
      </c>
      <c r="S13" s="217" t="e">
        <f>IF(最早可退休日期!$D$2&lt;&gt;"職員",AE15,IF(AND($AS$3&lt;$AS$2,$AS$4&lt;$AS$2),AE15,IF($AS$3&lt;$AS$2,AE14,AE13)))</f>
        <v>#VALUE!</v>
      </c>
      <c r="T13" s="218" t="str">
        <f>IF(最早可退休日期!$D$2&lt;&gt;"職員",AF15,IF(AND($AS$3&lt;$AS$2,$AS$4&lt;$AS$2),AF15,IF($AS$3&lt;$AS$2,AF14,AF13)))</f>
        <v>113年2月1日</v>
      </c>
      <c r="U13" s="219" t="e">
        <f>IF(最早可退休日期!$D$2&lt;&gt;"職員",AG15,IF(AND($AS$3&lt;$AS$2,$AS$4&lt;$AS$2),AG15,IF($AS$3&lt;$AS$2,AG14,AG13)))</f>
        <v>#VALUE!</v>
      </c>
      <c r="V13" s="219" t="e">
        <f>IF(最早可退休日期!$D$2&lt;&gt;"職員",AH15,IF(AND($AS$3&lt;$AS$2,$AS$4&lt;$AS$2),AH15,IF($AS$3&lt;$AS$2,AH14,AH13)))</f>
        <v>#VALUE!</v>
      </c>
      <c r="W13" s="206" t="e">
        <f>IF(最早可退休日期!$D$2&lt;&gt;"職員",AI15,IF(AND($AS$3&lt;$AS$2,$AS$4&lt;$AS$2),AI15,IF($AS$3&lt;$AS$2,AI14,AI13)))</f>
        <v>#VALUE!</v>
      </c>
      <c r="X13" s="207" t="e">
        <f>IF(最早可退休日期!$D$2&lt;&gt;"職員",AJ15,IF(AND($AS$3&lt;$AS$2,$AS$4&lt;$AS$2),AJ15,IF($AS$3&lt;$AS$2,AJ14,AJ13)))</f>
        <v>#VALUE!</v>
      </c>
      <c r="Y13" s="217">
        <f t="shared" si="0"/>
        <v>112</v>
      </c>
      <c r="Z13" s="217">
        <f t="shared" si="31"/>
        <v>81</v>
      </c>
      <c r="AA13" s="217">
        <f>IF(最早退休日期!$B$1="中等以下教師",58,IF(Y13&gt;=122,65,IF(Y13&lt;107,50,VLOOKUP(Y13,Legal_Year,3,0))))</f>
        <v>58</v>
      </c>
      <c r="AB13" s="217">
        <f t="shared" si="28"/>
        <v>50</v>
      </c>
      <c r="AC13" s="217">
        <f t="shared" si="2"/>
        <v>112</v>
      </c>
      <c r="AD13" s="217" t="e">
        <f t="shared" si="3"/>
        <v>#VALUE!</v>
      </c>
      <c r="AE13" s="217" t="e">
        <f t="shared" si="29"/>
        <v>#VALUE!</v>
      </c>
      <c r="AF13" s="227" t="str">
        <f t="shared" si="5"/>
        <v>112年2月1日</v>
      </c>
      <c r="AG13" s="219" t="e">
        <f t="shared" si="6"/>
        <v>#VALUE!</v>
      </c>
      <c r="AH13" s="219" t="e">
        <f t="shared" si="7"/>
        <v>#VALUE!</v>
      </c>
      <c r="AI13" s="206" t="e">
        <f t="shared" si="8"/>
        <v>#VALUE!</v>
      </c>
      <c r="AJ13" s="207" t="e">
        <f t="shared" si="9"/>
        <v>#VALUE!</v>
      </c>
      <c r="AK13" s="217">
        <f t="shared" si="48"/>
        <v>112</v>
      </c>
      <c r="AL13" s="217" t="e">
        <f t="shared" si="10"/>
        <v>#VALUE!</v>
      </c>
      <c r="AM13" s="220" t="e">
        <f t="shared" si="11"/>
        <v>#VALUE!</v>
      </c>
      <c r="AN13" s="220" t="e">
        <f t="shared" si="12"/>
        <v>#VALUE!</v>
      </c>
      <c r="AO13" s="220" t="e">
        <f t="shared" si="13"/>
        <v>#VALUE!</v>
      </c>
      <c r="AP13" s="221" t="e">
        <f t="shared" si="14"/>
        <v>#VALUE!</v>
      </c>
      <c r="AQ13" s="221" t="e">
        <f t="shared" si="15"/>
        <v>#VALUE!</v>
      </c>
      <c r="AR13" s="222" t="e">
        <f t="shared" si="16"/>
        <v>#VALUE!</v>
      </c>
      <c r="AS13" s="223">
        <f>IF(最早退休日期!$B$2="職員",MIN(IF(ISERROR(DATEVALUE(CONCATENATE(AK13+1911,"/",$AA$1000,"/",$AB$1000))),DATEVALUE(CONCATENATE(AK13+1911,"/",3,"/",1)),DATEVALUE(CONCATENATE(AK13+1911,"/",$AA$1000,"/",$AB$1000))),AR13),DATEVALUE(CONCATENATE(AK13+1911,"/2/1")))</f>
        <v>44958</v>
      </c>
      <c r="AT13" s="224" t="e">
        <f t="shared" si="17"/>
        <v>#VALUE!</v>
      </c>
      <c r="AU13" s="224" t="e">
        <f t="shared" si="18"/>
        <v>#VALUE!</v>
      </c>
      <c r="AV13" s="224" t="e">
        <f t="shared" si="32"/>
        <v>#VALUE!</v>
      </c>
      <c r="AW13" s="224" t="e">
        <f t="shared" si="19"/>
        <v>#VALUE!</v>
      </c>
      <c r="AX13" s="224" t="b">
        <f t="shared" si="20"/>
        <v>1</v>
      </c>
      <c r="AY13" s="224" t="e">
        <f t="shared" si="21"/>
        <v>#VALUE!</v>
      </c>
      <c r="AZ13" s="224" t="b">
        <f t="shared" si="22"/>
        <v>1</v>
      </c>
      <c r="BA13" s="224" t="e">
        <f t="shared" si="33"/>
        <v>#VALUE!</v>
      </c>
      <c r="BB13" s="224" t="e">
        <f t="shared" si="34"/>
        <v>#VALUE!</v>
      </c>
      <c r="BC13" s="224" t="e">
        <f t="shared" si="35"/>
        <v>#VALUE!</v>
      </c>
      <c r="BD13" s="225" t="e">
        <f t="shared" si="23"/>
        <v>#VALUE!</v>
      </c>
      <c r="BE13" s="225" t="e">
        <f t="shared" si="24"/>
        <v>#VALUE!</v>
      </c>
      <c r="BF13" s="225" t="e">
        <f t="shared" si="25"/>
        <v>#VALUE!</v>
      </c>
      <c r="BG13" s="226" t="e">
        <f t="shared" si="26"/>
        <v>#VALUE!</v>
      </c>
      <c r="BH13" s="227" t="e">
        <f t="shared" si="27"/>
        <v>#VALUE!</v>
      </c>
    </row>
    <row r="14" spans="1:60" x14ac:dyDescent="0.25">
      <c r="A14" s="216" t="str">
        <f t="shared" si="36"/>
        <v/>
      </c>
      <c r="B14" s="217" t="str">
        <f t="shared" si="37"/>
        <v/>
      </c>
      <c r="C14" s="217" t="str">
        <f t="shared" si="38"/>
        <v/>
      </c>
      <c r="D14" s="217" t="str">
        <f t="shared" si="39"/>
        <v/>
      </c>
      <c r="E14" s="217" t="str">
        <f t="shared" si="40"/>
        <v/>
      </c>
      <c r="F14" s="217" t="str">
        <f t="shared" si="41"/>
        <v/>
      </c>
      <c r="G14" s="217" t="str">
        <f t="shared" si="42"/>
        <v/>
      </c>
      <c r="H14" s="218" t="str">
        <f t="shared" si="43"/>
        <v/>
      </c>
      <c r="I14" s="219" t="str">
        <f t="shared" si="44"/>
        <v/>
      </c>
      <c r="J14" s="219" t="str">
        <f t="shared" si="45"/>
        <v/>
      </c>
      <c r="K14" s="206" t="str">
        <f t="shared" si="46"/>
        <v/>
      </c>
      <c r="L14" s="272" t="str">
        <f t="shared" si="47"/>
        <v/>
      </c>
      <c r="M14" s="216">
        <f>IF(最早可退休日期!$D$2&lt;&gt;"職員",Y16,IF(AND($AS$3&lt;$AS$2,$AS$4&lt;$AS$2),Y16,IF($AS$3&lt;$AS$2,Y15,Y14)))</f>
        <v>113</v>
      </c>
      <c r="N14" s="217">
        <f>IF(最早可退休日期!$D$2&lt;&gt;"職員",Z16,IF(AND($AS$3&lt;$AS$2,$AS$4&lt;$AS$2),Z16,IF($AS$3&lt;$AS$2,Z15,Z14)))</f>
        <v>82</v>
      </c>
      <c r="O14" s="217">
        <f>IF(最早可退休日期!$D$2&lt;&gt;"職員",AA16,IF(AND($AS$3&lt;$AS$2,$AS$4&lt;$AS$2),AA16,IF($AS$3&lt;$AS$2,AA15,AA14)))</f>
        <v>58</v>
      </c>
      <c r="P14" s="217">
        <f>IF(最早可退休日期!$D$2&lt;&gt;"職員",AB16,IF(AND($AS$3&lt;$AS$2,$AS$4&lt;$AS$2),AB16,IF($AS$3&lt;$AS$2,AB15,AB14)))</f>
        <v>50</v>
      </c>
      <c r="Q14" s="217">
        <f>IF(最早可退休日期!$D$2&lt;&gt;"職員",AC16,IF(AND($AS$3&lt;$AS$2,$AS$4&lt;$AS$2),AC16,IF($AS$3&lt;$AS$2,AC15,AC14)))</f>
        <v>113</v>
      </c>
      <c r="R14" s="217" t="e">
        <f>IF(最早可退休日期!$D$2&lt;&gt;"職員",AD16,IF(AND($AS$3&lt;$AS$2,$AS$4&lt;$AS$2),AD16,IF($AS$3&lt;$AS$2,AD15,AD14)))</f>
        <v>#VALUE!</v>
      </c>
      <c r="S14" s="217" t="e">
        <f>IF(最早可退休日期!$D$2&lt;&gt;"職員",AE16,IF(AND($AS$3&lt;$AS$2,$AS$4&lt;$AS$2),AE16,IF($AS$3&lt;$AS$2,AE15,AE14)))</f>
        <v>#VALUE!</v>
      </c>
      <c r="T14" s="218" t="str">
        <f>IF(最早可退休日期!$D$2&lt;&gt;"職員",AF16,IF(AND($AS$3&lt;$AS$2,$AS$4&lt;$AS$2),AF16,IF($AS$3&lt;$AS$2,AF15,AF14)))</f>
        <v>113年8月1日</v>
      </c>
      <c r="U14" s="219" t="e">
        <f>IF(最早可退休日期!$D$2&lt;&gt;"職員",AG16,IF(AND($AS$3&lt;$AS$2,$AS$4&lt;$AS$2),AG16,IF($AS$3&lt;$AS$2,AG15,AG14)))</f>
        <v>#VALUE!</v>
      </c>
      <c r="V14" s="219" t="e">
        <f>IF(最早可退休日期!$D$2&lt;&gt;"職員",AH16,IF(AND($AS$3&lt;$AS$2,$AS$4&lt;$AS$2),AH16,IF($AS$3&lt;$AS$2,AH15,AH14)))</f>
        <v>#VALUE!</v>
      </c>
      <c r="W14" s="206" t="e">
        <f>IF(最早可退休日期!$D$2&lt;&gt;"職員",AI16,IF(AND($AS$3&lt;$AS$2,$AS$4&lt;$AS$2),AI16,IF($AS$3&lt;$AS$2,AI15,AI14)))</f>
        <v>#VALUE!</v>
      </c>
      <c r="X14" s="207" t="e">
        <f>IF(最早可退休日期!$D$2&lt;&gt;"職員",AJ16,IF(AND($AS$3&lt;$AS$2,$AS$4&lt;$AS$2),AJ16,IF($AS$3&lt;$AS$2,AJ15,AJ14)))</f>
        <v>#VALUE!</v>
      </c>
      <c r="Y14" s="217">
        <f t="shared" si="0"/>
        <v>112</v>
      </c>
      <c r="Z14" s="217">
        <f t="shared" si="31"/>
        <v>81</v>
      </c>
      <c r="AA14" s="217">
        <f>IF(最早退休日期!$B$1="中等以下教師",58,IF(Y14&gt;=122,65,IF(Y14&lt;107,50,VLOOKUP(Y14,Legal_Year,3,0))))</f>
        <v>58</v>
      </c>
      <c r="AB14" s="217">
        <f t="shared" si="28"/>
        <v>50</v>
      </c>
      <c r="AC14" s="217">
        <f t="shared" si="2"/>
        <v>112</v>
      </c>
      <c r="AD14" s="217" t="e">
        <f t="shared" si="3"/>
        <v>#VALUE!</v>
      </c>
      <c r="AE14" s="217" t="e">
        <f t="shared" si="29"/>
        <v>#VALUE!</v>
      </c>
      <c r="AF14" s="227" t="str">
        <f t="shared" si="5"/>
        <v>112年8月1日</v>
      </c>
      <c r="AG14" s="219" t="e">
        <f t="shared" si="6"/>
        <v>#VALUE!</v>
      </c>
      <c r="AH14" s="219" t="e">
        <f t="shared" si="7"/>
        <v>#VALUE!</v>
      </c>
      <c r="AI14" s="206" t="e">
        <f t="shared" si="8"/>
        <v>#VALUE!</v>
      </c>
      <c r="AJ14" s="207" t="e">
        <f t="shared" si="9"/>
        <v>#VALUE!</v>
      </c>
      <c r="AK14" s="217">
        <f t="shared" si="48"/>
        <v>112</v>
      </c>
      <c r="AL14" s="217" t="e">
        <f t="shared" si="10"/>
        <v>#VALUE!</v>
      </c>
      <c r="AM14" s="220" t="e">
        <f t="shared" si="11"/>
        <v>#VALUE!</v>
      </c>
      <c r="AN14" s="220" t="e">
        <f t="shared" si="12"/>
        <v>#VALUE!</v>
      </c>
      <c r="AO14" s="220" t="e">
        <f t="shared" si="13"/>
        <v>#VALUE!</v>
      </c>
      <c r="AP14" s="221" t="e">
        <f t="shared" si="14"/>
        <v>#VALUE!</v>
      </c>
      <c r="AQ14" s="221" t="e">
        <f t="shared" si="15"/>
        <v>#VALUE!</v>
      </c>
      <c r="AR14" s="222" t="e">
        <f t="shared" si="16"/>
        <v>#VALUE!</v>
      </c>
      <c r="AS14" s="223">
        <f>IF(最早退休日期!$B$2="職員",MAX(IF(ISERROR(DATEVALUE(CONCATENATE(AK14+1911,"/",$AA$1000,"/",$AB$1000))),DATEVALUE(CONCATENATE(AK14+1911,"/",3,"/",1)),DATEVALUE(CONCATENATE(AK14+1911,"/",$AA$1000,"/",$AB$1000))),AR14),DATEVALUE(CONCATENATE(AK14+1911,"/8/1")))</f>
        <v>45139</v>
      </c>
      <c r="AT14" s="224" t="e">
        <f t="shared" si="17"/>
        <v>#VALUE!</v>
      </c>
      <c r="AU14" s="224" t="e">
        <f t="shared" si="18"/>
        <v>#VALUE!</v>
      </c>
      <c r="AV14" s="224" t="e">
        <f t="shared" si="32"/>
        <v>#VALUE!</v>
      </c>
      <c r="AW14" s="224" t="e">
        <f t="shared" si="19"/>
        <v>#VALUE!</v>
      </c>
      <c r="AX14" s="224" t="b">
        <f t="shared" si="20"/>
        <v>1</v>
      </c>
      <c r="AY14" s="224" t="e">
        <f t="shared" si="21"/>
        <v>#VALUE!</v>
      </c>
      <c r="AZ14" s="224" t="b">
        <f t="shared" si="22"/>
        <v>1</v>
      </c>
      <c r="BA14" s="224" t="e">
        <f t="shared" si="33"/>
        <v>#VALUE!</v>
      </c>
      <c r="BB14" s="224" t="e">
        <f t="shared" si="34"/>
        <v>#VALUE!</v>
      </c>
      <c r="BC14" s="224" t="e">
        <f t="shared" si="35"/>
        <v>#VALUE!</v>
      </c>
      <c r="BD14" s="225" t="e">
        <f t="shared" si="23"/>
        <v>#VALUE!</v>
      </c>
      <c r="BE14" s="225" t="e">
        <f t="shared" si="24"/>
        <v>#VALUE!</v>
      </c>
      <c r="BF14" s="225" t="e">
        <f t="shared" si="25"/>
        <v>#VALUE!</v>
      </c>
      <c r="BG14" s="226" t="e">
        <f t="shared" si="26"/>
        <v>#VALUE!</v>
      </c>
      <c r="BH14" s="227" t="e">
        <f t="shared" si="27"/>
        <v>#VALUE!</v>
      </c>
    </row>
    <row r="15" spans="1:60" x14ac:dyDescent="0.25">
      <c r="A15" s="216" t="str">
        <f t="shared" si="36"/>
        <v/>
      </c>
      <c r="B15" s="217" t="str">
        <f t="shared" si="37"/>
        <v/>
      </c>
      <c r="C15" s="217" t="str">
        <f t="shared" si="38"/>
        <v/>
      </c>
      <c r="D15" s="217" t="str">
        <f t="shared" si="39"/>
        <v/>
      </c>
      <c r="E15" s="217" t="str">
        <f t="shared" si="40"/>
        <v/>
      </c>
      <c r="F15" s="217" t="str">
        <f t="shared" si="41"/>
        <v/>
      </c>
      <c r="G15" s="217" t="str">
        <f t="shared" si="42"/>
        <v/>
      </c>
      <c r="H15" s="218" t="str">
        <f t="shared" si="43"/>
        <v/>
      </c>
      <c r="I15" s="219" t="str">
        <f t="shared" si="44"/>
        <v/>
      </c>
      <c r="J15" s="219" t="str">
        <f t="shared" si="45"/>
        <v/>
      </c>
      <c r="K15" s="206" t="str">
        <f t="shared" si="46"/>
        <v/>
      </c>
      <c r="L15" s="272" t="str">
        <f t="shared" si="47"/>
        <v/>
      </c>
      <c r="M15" s="216">
        <f>IF(最早可退休日期!$D$2&lt;&gt;"職員",Y17,IF(AND($AS$3&lt;$AS$2,$AS$4&lt;$AS$2),Y17,IF($AS$3&lt;$AS$2,Y16,Y15)))</f>
        <v>114</v>
      </c>
      <c r="N15" s="217">
        <f>IF(最早可退休日期!$D$2&lt;&gt;"職員",Z17,IF(AND($AS$3&lt;$AS$2,$AS$4&lt;$AS$2),Z17,IF($AS$3&lt;$AS$2,Z16,Z15)))</f>
        <v>83</v>
      </c>
      <c r="O15" s="217">
        <f>IF(最早可退休日期!$D$2&lt;&gt;"職員",AA17,IF(AND($AS$3&lt;$AS$2,$AS$4&lt;$AS$2),AA17,IF($AS$3&lt;$AS$2,AA16,AA15)))</f>
        <v>58</v>
      </c>
      <c r="P15" s="217">
        <f>IF(最早可退休日期!$D$2&lt;&gt;"職員",AB17,IF(AND($AS$3&lt;$AS$2,$AS$4&lt;$AS$2),AB17,IF($AS$3&lt;$AS$2,AB16,AB15)))</f>
        <v>50</v>
      </c>
      <c r="Q15" s="217">
        <f>IF(最早可退休日期!$D$2&lt;&gt;"職員",AC17,IF(AND($AS$3&lt;$AS$2,$AS$4&lt;$AS$2),AC17,IF($AS$3&lt;$AS$2,AC16,AC15)))</f>
        <v>114</v>
      </c>
      <c r="R15" s="217" t="e">
        <f>IF(最早可退休日期!$D$2&lt;&gt;"職員",AD17,IF(AND($AS$3&lt;$AS$2,$AS$4&lt;$AS$2),AD17,IF($AS$3&lt;$AS$2,AD16,AD15)))</f>
        <v>#VALUE!</v>
      </c>
      <c r="S15" s="217" t="e">
        <f>IF(最早可退休日期!$D$2&lt;&gt;"職員",AE17,IF(AND($AS$3&lt;$AS$2,$AS$4&lt;$AS$2),AE17,IF($AS$3&lt;$AS$2,AE16,AE15)))</f>
        <v>#VALUE!</v>
      </c>
      <c r="T15" s="218" t="str">
        <f>IF(最早可退休日期!$D$2&lt;&gt;"職員",AF17,IF(AND($AS$3&lt;$AS$2,$AS$4&lt;$AS$2),AF17,IF($AS$3&lt;$AS$2,AF16,AF15)))</f>
        <v>114年2月1日</v>
      </c>
      <c r="U15" s="219" t="e">
        <f>IF(最早可退休日期!$D$2&lt;&gt;"職員",AG17,IF(AND($AS$3&lt;$AS$2,$AS$4&lt;$AS$2),AG17,IF($AS$3&lt;$AS$2,AG16,AG15)))</f>
        <v>#VALUE!</v>
      </c>
      <c r="V15" s="219" t="e">
        <f>IF(最早可退休日期!$D$2&lt;&gt;"職員",AH17,IF(AND($AS$3&lt;$AS$2,$AS$4&lt;$AS$2),AH17,IF($AS$3&lt;$AS$2,AH16,AH15)))</f>
        <v>#VALUE!</v>
      </c>
      <c r="W15" s="206" t="e">
        <f>IF(最早可退休日期!$D$2&lt;&gt;"職員",AI17,IF(AND($AS$3&lt;$AS$2,$AS$4&lt;$AS$2),AI17,IF($AS$3&lt;$AS$2,AI16,AI15)))</f>
        <v>#VALUE!</v>
      </c>
      <c r="X15" s="207" t="e">
        <f>IF(最早可退休日期!$D$2&lt;&gt;"職員",AJ17,IF(AND($AS$3&lt;$AS$2,$AS$4&lt;$AS$2),AJ17,IF($AS$3&lt;$AS$2,AJ16,AJ15)))</f>
        <v>#VALUE!</v>
      </c>
      <c r="Y15" s="217">
        <f t="shared" si="0"/>
        <v>113</v>
      </c>
      <c r="Z15" s="217">
        <f t="shared" si="31"/>
        <v>82</v>
      </c>
      <c r="AA15" s="217">
        <f>IF(最早退休日期!$B$1="中等以下教師",58,IF(Y15&gt;=122,65,IF(Y15&lt;107,50,VLOOKUP(Y15,Legal_Year,3,0))))</f>
        <v>58</v>
      </c>
      <c r="AB15" s="217">
        <f t="shared" si="28"/>
        <v>50</v>
      </c>
      <c r="AC15" s="217">
        <f t="shared" si="2"/>
        <v>113</v>
      </c>
      <c r="AD15" s="217" t="e">
        <f t="shared" si="3"/>
        <v>#VALUE!</v>
      </c>
      <c r="AE15" s="217" t="e">
        <f t="shared" si="29"/>
        <v>#VALUE!</v>
      </c>
      <c r="AF15" s="227" t="str">
        <f t="shared" si="5"/>
        <v>113年2月1日</v>
      </c>
      <c r="AG15" s="219" t="e">
        <f t="shared" si="6"/>
        <v>#VALUE!</v>
      </c>
      <c r="AH15" s="219" t="e">
        <f t="shared" si="7"/>
        <v>#VALUE!</v>
      </c>
      <c r="AI15" s="206" t="e">
        <f t="shared" si="8"/>
        <v>#VALUE!</v>
      </c>
      <c r="AJ15" s="207" t="e">
        <f t="shared" si="9"/>
        <v>#VALUE!</v>
      </c>
      <c r="AK15" s="217">
        <f t="shared" si="48"/>
        <v>113</v>
      </c>
      <c r="AL15" s="217" t="e">
        <f t="shared" si="10"/>
        <v>#VALUE!</v>
      </c>
      <c r="AM15" s="220" t="e">
        <f t="shared" si="11"/>
        <v>#VALUE!</v>
      </c>
      <c r="AN15" s="220" t="e">
        <f t="shared" si="12"/>
        <v>#VALUE!</v>
      </c>
      <c r="AO15" s="220" t="e">
        <f t="shared" si="13"/>
        <v>#VALUE!</v>
      </c>
      <c r="AP15" s="221" t="e">
        <f t="shared" si="14"/>
        <v>#VALUE!</v>
      </c>
      <c r="AQ15" s="221" t="e">
        <f t="shared" si="15"/>
        <v>#VALUE!</v>
      </c>
      <c r="AR15" s="222" t="e">
        <f t="shared" si="16"/>
        <v>#VALUE!</v>
      </c>
      <c r="AS15" s="223">
        <f>IF(最早退休日期!$B$2="職員",MIN(IF(ISERROR(DATEVALUE(CONCATENATE(AK15+1911,"/",$AA$1000,"/",$AB$1000))),DATEVALUE(CONCATENATE(AK15+1911,"/",3,"/",1)),DATEVALUE(CONCATENATE(AK15+1911,"/",$AA$1000,"/",$AB$1000))),AR15),DATEVALUE(CONCATENATE(AK15+1911,"/2/1")))</f>
        <v>45323</v>
      </c>
      <c r="AT15" s="224" t="e">
        <f t="shared" si="17"/>
        <v>#VALUE!</v>
      </c>
      <c r="AU15" s="224" t="e">
        <f t="shared" si="18"/>
        <v>#VALUE!</v>
      </c>
      <c r="AV15" s="224" t="e">
        <f t="shared" si="32"/>
        <v>#VALUE!</v>
      </c>
      <c r="AW15" s="224" t="e">
        <f t="shared" si="19"/>
        <v>#VALUE!</v>
      </c>
      <c r="AX15" s="224" t="b">
        <f t="shared" si="20"/>
        <v>1</v>
      </c>
      <c r="AY15" s="224" t="e">
        <f t="shared" si="21"/>
        <v>#VALUE!</v>
      </c>
      <c r="AZ15" s="224" t="b">
        <f t="shared" si="22"/>
        <v>1</v>
      </c>
      <c r="BA15" s="224" t="e">
        <f t="shared" si="33"/>
        <v>#VALUE!</v>
      </c>
      <c r="BB15" s="224" t="e">
        <f t="shared" si="34"/>
        <v>#VALUE!</v>
      </c>
      <c r="BC15" s="224" t="e">
        <f t="shared" si="35"/>
        <v>#VALUE!</v>
      </c>
      <c r="BD15" s="225" t="e">
        <f t="shared" si="23"/>
        <v>#VALUE!</v>
      </c>
      <c r="BE15" s="225" t="e">
        <f t="shared" si="24"/>
        <v>#VALUE!</v>
      </c>
      <c r="BF15" s="225" t="e">
        <f t="shared" si="25"/>
        <v>#VALUE!</v>
      </c>
      <c r="BG15" s="226" t="e">
        <f t="shared" si="26"/>
        <v>#VALUE!</v>
      </c>
      <c r="BH15" s="227" t="e">
        <f t="shared" si="27"/>
        <v>#VALUE!</v>
      </c>
    </row>
    <row r="16" spans="1:60" x14ac:dyDescent="0.25">
      <c r="A16" s="216" t="str">
        <f t="shared" si="36"/>
        <v/>
      </c>
      <c r="B16" s="217" t="str">
        <f t="shared" si="37"/>
        <v/>
      </c>
      <c r="C16" s="217" t="str">
        <f t="shared" si="38"/>
        <v/>
      </c>
      <c r="D16" s="217" t="str">
        <f t="shared" si="39"/>
        <v/>
      </c>
      <c r="E16" s="217" t="str">
        <f t="shared" si="40"/>
        <v/>
      </c>
      <c r="F16" s="217" t="str">
        <f t="shared" si="41"/>
        <v/>
      </c>
      <c r="G16" s="217" t="str">
        <f t="shared" si="42"/>
        <v/>
      </c>
      <c r="H16" s="218" t="str">
        <f t="shared" si="43"/>
        <v/>
      </c>
      <c r="I16" s="219" t="str">
        <f t="shared" si="44"/>
        <v/>
      </c>
      <c r="J16" s="219" t="str">
        <f t="shared" si="45"/>
        <v/>
      </c>
      <c r="K16" s="206" t="str">
        <f t="shared" si="46"/>
        <v/>
      </c>
      <c r="L16" s="272" t="str">
        <f t="shared" si="47"/>
        <v/>
      </c>
      <c r="M16" s="216">
        <f>IF(最早可退休日期!$D$2&lt;&gt;"職員",Y18,IF(AND($AS$3&lt;$AS$2,$AS$4&lt;$AS$2),Y18,IF($AS$3&lt;$AS$2,Y17,Y16)))</f>
        <v>114</v>
      </c>
      <c r="N16" s="217">
        <f>IF(最早可退休日期!$D$2&lt;&gt;"職員",Z18,IF(AND($AS$3&lt;$AS$2,$AS$4&lt;$AS$2),Z18,IF($AS$3&lt;$AS$2,Z17,Z16)))</f>
        <v>83</v>
      </c>
      <c r="O16" s="217">
        <f>IF(最早可退休日期!$D$2&lt;&gt;"職員",AA18,IF(AND($AS$3&lt;$AS$2,$AS$4&lt;$AS$2),AA18,IF($AS$3&lt;$AS$2,AA17,AA16)))</f>
        <v>58</v>
      </c>
      <c r="P16" s="217">
        <f>IF(最早可退休日期!$D$2&lt;&gt;"職員",AB18,IF(AND($AS$3&lt;$AS$2,$AS$4&lt;$AS$2),AB18,IF($AS$3&lt;$AS$2,AB17,AB16)))</f>
        <v>50</v>
      </c>
      <c r="Q16" s="217">
        <f>IF(最早可退休日期!$D$2&lt;&gt;"職員",AC18,IF(AND($AS$3&lt;$AS$2,$AS$4&lt;$AS$2),AC18,IF($AS$3&lt;$AS$2,AC17,AC16)))</f>
        <v>114</v>
      </c>
      <c r="R16" s="217" t="e">
        <f>IF(最早可退休日期!$D$2&lt;&gt;"職員",AD18,IF(AND($AS$3&lt;$AS$2,$AS$4&lt;$AS$2),AD18,IF($AS$3&lt;$AS$2,AD17,AD16)))</f>
        <v>#VALUE!</v>
      </c>
      <c r="S16" s="217" t="e">
        <f>IF(最早可退休日期!$D$2&lt;&gt;"職員",AE18,IF(AND($AS$3&lt;$AS$2,$AS$4&lt;$AS$2),AE18,IF($AS$3&lt;$AS$2,AE17,AE16)))</f>
        <v>#VALUE!</v>
      </c>
      <c r="T16" s="218" t="str">
        <f>IF(最早可退休日期!$D$2&lt;&gt;"職員",AF18,IF(AND($AS$3&lt;$AS$2,$AS$4&lt;$AS$2),AF18,IF($AS$3&lt;$AS$2,AF17,AF16)))</f>
        <v>114年8月1日</v>
      </c>
      <c r="U16" s="219" t="e">
        <f>IF(最早可退休日期!$D$2&lt;&gt;"職員",AG18,IF(AND($AS$3&lt;$AS$2,$AS$4&lt;$AS$2),AG18,IF($AS$3&lt;$AS$2,AG17,AG16)))</f>
        <v>#VALUE!</v>
      </c>
      <c r="V16" s="219" t="e">
        <f>IF(最早可退休日期!$D$2&lt;&gt;"職員",AH18,IF(AND($AS$3&lt;$AS$2,$AS$4&lt;$AS$2),AH18,IF($AS$3&lt;$AS$2,AH17,AH16)))</f>
        <v>#VALUE!</v>
      </c>
      <c r="W16" s="206" t="e">
        <f>IF(最早可退休日期!$D$2&lt;&gt;"職員",AI18,IF(AND($AS$3&lt;$AS$2,$AS$4&lt;$AS$2),AI18,IF($AS$3&lt;$AS$2,AI17,AI16)))</f>
        <v>#VALUE!</v>
      </c>
      <c r="X16" s="207" t="e">
        <f>IF(最早可退休日期!$D$2&lt;&gt;"職員",AJ18,IF(AND($AS$3&lt;$AS$2,$AS$4&lt;$AS$2),AJ18,IF($AS$3&lt;$AS$2,AJ17,AJ16)))</f>
        <v>#VALUE!</v>
      </c>
      <c r="Y16" s="217">
        <f t="shared" si="0"/>
        <v>113</v>
      </c>
      <c r="Z16" s="217">
        <f t="shared" si="31"/>
        <v>82</v>
      </c>
      <c r="AA16" s="217">
        <f>IF(最早退休日期!$B$1="中等以下教師",58,IF(Y16&gt;=122,65,IF(Y16&lt;107,50,VLOOKUP(Y16,Legal_Year,3,0))))</f>
        <v>58</v>
      </c>
      <c r="AB16" s="217">
        <f t="shared" si="28"/>
        <v>50</v>
      </c>
      <c r="AC16" s="217">
        <f t="shared" si="2"/>
        <v>113</v>
      </c>
      <c r="AD16" s="217" t="e">
        <f t="shared" si="3"/>
        <v>#VALUE!</v>
      </c>
      <c r="AE16" s="217" t="e">
        <f t="shared" si="29"/>
        <v>#VALUE!</v>
      </c>
      <c r="AF16" s="227" t="str">
        <f t="shared" si="5"/>
        <v>113年8月1日</v>
      </c>
      <c r="AG16" s="219" t="e">
        <f t="shared" si="6"/>
        <v>#VALUE!</v>
      </c>
      <c r="AH16" s="219" t="e">
        <f t="shared" si="7"/>
        <v>#VALUE!</v>
      </c>
      <c r="AI16" s="206" t="e">
        <f t="shared" si="8"/>
        <v>#VALUE!</v>
      </c>
      <c r="AJ16" s="207" t="e">
        <f t="shared" si="9"/>
        <v>#VALUE!</v>
      </c>
      <c r="AK16" s="217">
        <f t="shared" si="48"/>
        <v>113</v>
      </c>
      <c r="AL16" s="217" t="e">
        <f t="shared" si="10"/>
        <v>#VALUE!</v>
      </c>
      <c r="AM16" s="220" t="e">
        <f t="shared" si="11"/>
        <v>#VALUE!</v>
      </c>
      <c r="AN16" s="220" t="e">
        <f t="shared" si="12"/>
        <v>#VALUE!</v>
      </c>
      <c r="AO16" s="220" t="e">
        <f t="shared" si="13"/>
        <v>#VALUE!</v>
      </c>
      <c r="AP16" s="221" t="e">
        <f t="shared" si="14"/>
        <v>#VALUE!</v>
      </c>
      <c r="AQ16" s="221" t="e">
        <f t="shared" si="15"/>
        <v>#VALUE!</v>
      </c>
      <c r="AR16" s="222" t="e">
        <f t="shared" si="16"/>
        <v>#VALUE!</v>
      </c>
      <c r="AS16" s="223">
        <f>IF(最早退休日期!$B$2="職員",MAX(IF(ISERROR(DATEVALUE(CONCATENATE(AK16+1911,"/",$AA$1000,"/",$AB$1000))),DATEVALUE(CONCATENATE(AK16+1911,"/",3,"/",1)),DATEVALUE(CONCATENATE(AK16+1911,"/",$AA$1000,"/",$AB$1000))),AR16),DATEVALUE(CONCATENATE(AK16+1911,"/8/1")))</f>
        <v>45505</v>
      </c>
      <c r="AT16" s="224" t="e">
        <f t="shared" si="17"/>
        <v>#VALUE!</v>
      </c>
      <c r="AU16" s="224" t="e">
        <f t="shared" si="18"/>
        <v>#VALUE!</v>
      </c>
      <c r="AV16" s="224" t="e">
        <f t="shared" si="32"/>
        <v>#VALUE!</v>
      </c>
      <c r="AW16" s="224" t="e">
        <f t="shared" si="19"/>
        <v>#VALUE!</v>
      </c>
      <c r="AX16" s="224" t="b">
        <f t="shared" si="20"/>
        <v>1</v>
      </c>
      <c r="AY16" s="224" t="e">
        <f t="shared" si="21"/>
        <v>#VALUE!</v>
      </c>
      <c r="AZ16" s="224" t="b">
        <f t="shared" si="22"/>
        <v>1</v>
      </c>
      <c r="BA16" s="224" t="e">
        <f t="shared" si="33"/>
        <v>#VALUE!</v>
      </c>
      <c r="BB16" s="224" t="e">
        <f t="shared" si="34"/>
        <v>#VALUE!</v>
      </c>
      <c r="BC16" s="224" t="e">
        <f t="shared" si="35"/>
        <v>#VALUE!</v>
      </c>
      <c r="BD16" s="225" t="e">
        <f t="shared" si="23"/>
        <v>#VALUE!</v>
      </c>
      <c r="BE16" s="225" t="e">
        <f t="shared" si="24"/>
        <v>#VALUE!</v>
      </c>
      <c r="BF16" s="225" t="e">
        <f t="shared" si="25"/>
        <v>#VALUE!</v>
      </c>
      <c r="BG16" s="226" t="e">
        <f t="shared" si="26"/>
        <v>#VALUE!</v>
      </c>
      <c r="BH16" s="227" t="e">
        <f t="shared" si="27"/>
        <v>#VALUE!</v>
      </c>
    </row>
    <row r="17" spans="1:60" x14ac:dyDescent="0.25">
      <c r="A17" s="216" t="str">
        <f t="shared" si="36"/>
        <v/>
      </c>
      <c r="B17" s="217" t="str">
        <f t="shared" si="37"/>
        <v/>
      </c>
      <c r="C17" s="217" t="str">
        <f t="shared" si="38"/>
        <v/>
      </c>
      <c r="D17" s="217" t="str">
        <f t="shared" si="39"/>
        <v/>
      </c>
      <c r="E17" s="217" t="str">
        <f t="shared" si="40"/>
        <v/>
      </c>
      <c r="F17" s="217" t="str">
        <f t="shared" si="41"/>
        <v/>
      </c>
      <c r="G17" s="217" t="str">
        <f t="shared" si="42"/>
        <v/>
      </c>
      <c r="H17" s="218" t="str">
        <f t="shared" si="43"/>
        <v/>
      </c>
      <c r="I17" s="219" t="str">
        <f t="shared" si="44"/>
        <v/>
      </c>
      <c r="J17" s="219" t="str">
        <f t="shared" si="45"/>
        <v/>
      </c>
      <c r="K17" s="206" t="str">
        <f t="shared" si="46"/>
        <v/>
      </c>
      <c r="L17" s="272" t="str">
        <f t="shared" si="47"/>
        <v/>
      </c>
      <c r="M17" s="216">
        <f>IF(最早可退休日期!$D$2&lt;&gt;"職員",Y19,IF(AND($AS$3&lt;$AS$2,$AS$4&lt;$AS$2),Y19,IF($AS$3&lt;$AS$2,Y18,Y17)))</f>
        <v>115</v>
      </c>
      <c r="N17" s="217">
        <f>IF(最早可退休日期!$D$2&lt;&gt;"職員",Z19,IF(AND($AS$3&lt;$AS$2,$AS$4&lt;$AS$2),Z19,IF($AS$3&lt;$AS$2,Z18,Z17)))</f>
        <v>84</v>
      </c>
      <c r="O17" s="217">
        <f>IF(最早可退休日期!$D$2&lt;&gt;"職員",AA19,IF(AND($AS$3&lt;$AS$2,$AS$4&lt;$AS$2),AA19,IF($AS$3&lt;$AS$2,AA18,AA17)))</f>
        <v>58</v>
      </c>
      <c r="P17" s="217">
        <f>IF(最早可退休日期!$D$2&lt;&gt;"職員",AB19,IF(AND($AS$3&lt;$AS$2,$AS$4&lt;$AS$2),AB19,IF($AS$3&lt;$AS$2,AB18,AB17)))</f>
        <v>50</v>
      </c>
      <c r="Q17" s="217">
        <f>IF(最早可退休日期!$D$2&lt;&gt;"職員",AC19,IF(AND($AS$3&lt;$AS$2,$AS$4&lt;$AS$2),AC19,IF($AS$3&lt;$AS$2,AC18,AC17)))</f>
        <v>115</v>
      </c>
      <c r="R17" s="217" t="e">
        <f>IF(最早可退休日期!$D$2&lt;&gt;"職員",AD19,IF(AND($AS$3&lt;$AS$2,$AS$4&lt;$AS$2),AD19,IF($AS$3&lt;$AS$2,AD18,AD17)))</f>
        <v>#VALUE!</v>
      </c>
      <c r="S17" s="217" t="e">
        <f>IF(最早可退休日期!$D$2&lt;&gt;"職員",AE19,IF(AND($AS$3&lt;$AS$2,$AS$4&lt;$AS$2),AE19,IF($AS$3&lt;$AS$2,AE18,AE17)))</f>
        <v>#VALUE!</v>
      </c>
      <c r="T17" s="218" t="str">
        <f>IF(最早可退休日期!$D$2&lt;&gt;"職員",AF19,IF(AND($AS$3&lt;$AS$2,$AS$4&lt;$AS$2),AF19,IF($AS$3&lt;$AS$2,AF18,AF17)))</f>
        <v>115年2月1日</v>
      </c>
      <c r="U17" s="219" t="e">
        <f>IF(最早可退休日期!$D$2&lt;&gt;"職員",AG19,IF(AND($AS$3&lt;$AS$2,$AS$4&lt;$AS$2),AG19,IF($AS$3&lt;$AS$2,AG18,AG17)))</f>
        <v>#VALUE!</v>
      </c>
      <c r="V17" s="219" t="e">
        <f>IF(最早可退休日期!$D$2&lt;&gt;"職員",AH19,IF(AND($AS$3&lt;$AS$2,$AS$4&lt;$AS$2),AH19,IF($AS$3&lt;$AS$2,AH18,AH17)))</f>
        <v>#VALUE!</v>
      </c>
      <c r="W17" s="206" t="e">
        <f>IF(最早可退休日期!$D$2&lt;&gt;"職員",AI19,IF(AND($AS$3&lt;$AS$2,$AS$4&lt;$AS$2),AI19,IF($AS$3&lt;$AS$2,AI18,AI17)))</f>
        <v>#VALUE!</v>
      </c>
      <c r="X17" s="207" t="e">
        <f>IF(最早可退休日期!$D$2&lt;&gt;"職員",AJ19,IF(AND($AS$3&lt;$AS$2,$AS$4&lt;$AS$2),AJ19,IF($AS$3&lt;$AS$2,AJ18,AJ17)))</f>
        <v>#VALUE!</v>
      </c>
      <c r="Y17" s="217">
        <f t="shared" si="0"/>
        <v>114</v>
      </c>
      <c r="Z17" s="217">
        <f t="shared" si="31"/>
        <v>83</v>
      </c>
      <c r="AA17" s="217">
        <f>IF(最早退休日期!$B$1="中等以下教師",58,IF(Y17&gt;=122,65,IF(Y17&lt;107,50,VLOOKUP(Y17,Legal_Year,3,0))))</f>
        <v>58</v>
      </c>
      <c r="AB17" s="217">
        <f t="shared" si="28"/>
        <v>50</v>
      </c>
      <c r="AC17" s="217">
        <f t="shared" si="2"/>
        <v>114</v>
      </c>
      <c r="AD17" s="217" t="e">
        <f t="shared" si="3"/>
        <v>#VALUE!</v>
      </c>
      <c r="AE17" s="217" t="e">
        <f t="shared" si="29"/>
        <v>#VALUE!</v>
      </c>
      <c r="AF17" s="227" t="str">
        <f t="shared" si="5"/>
        <v>114年2月1日</v>
      </c>
      <c r="AG17" s="219" t="e">
        <f t="shared" si="6"/>
        <v>#VALUE!</v>
      </c>
      <c r="AH17" s="219" t="e">
        <f t="shared" si="7"/>
        <v>#VALUE!</v>
      </c>
      <c r="AI17" s="206" t="e">
        <f t="shared" si="8"/>
        <v>#VALUE!</v>
      </c>
      <c r="AJ17" s="207" t="e">
        <f t="shared" si="9"/>
        <v>#VALUE!</v>
      </c>
      <c r="AK17" s="217">
        <f t="shared" si="48"/>
        <v>114</v>
      </c>
      <c r="AL17" s="217" t="e">
        <f t="shared" si="10"/>
        <v>#VALUE!</v>
      </c>
      <c r="AM17" s="220" t="e">
        <f t="shared" si="11"/>
        <v>#VALUE!</v>
      </c>
      <c r="AN17" s="220" t="e">
        <f t="shared" si="12"/>
        <v>#VALUE!</v>
      </c>
      <c r="AO17" s="220" t="e">
        <f t="shared" si="13"/>
        <v>#VALUE!</v>
      </c>
      <c r="AP17" s="221" t="e">
        <f t="shared" si="14"/>
        <v>#VALUE!</v>
      </c>
      <c r="AQ17" s="221" t="e">
        <f t="shared" si="15"/>
        <v>#VALUE!</v>
      </c>
      <c r="AR17" s="222" t="e">
        <f t="shared" si="16"/>
        <v>#VALUE!</v>
      </c>
      <c r="AS17" s="223">
        <f>IF(最早退休日期!$B$2="職員",MIN(IF(ISERROR(DATEVALUE(CONCATENATE(AK17+1911,"/",$AA$1000,"/",$AB$1000))),DATEVALUE(CONCATENATE(AK17+1911,"/",3,"/",1)),DATEVALUE(CONCATENATE(AK17+1911,"/",$AA$1000,"/",$AB$1000))),AR17),DATEVALUE(CONCATENATE(AK17+1911,"/2/1")))</f>
        <v>45689</v>
      </c>
      <c r="AT17" s="224" t="e">
        <f t="shared" si="17"/>
        <v>#VALUE!</v>
      </c>
      <c r="AU17" s="224" t="e">
        <f t="shared" si="18"/>
        <v>#VALUE!</v>
      </c>
      <c r="AV17" s="224" t="e">
        <f t="shared" si="32"/>
        <v>#VALUE!</v>
      </c>
      <c r="AW17" s="224" t="e">
        <f t="shared" si="19"/>
        <v>#VALUE!</v>
      </c>
      <c r="AX17" s="224" t="b">
        <f t="shared" si="20"/>
        <v>1</v>
      </c>
      <c r="AY17" s="224" t="e">
        <f t="shared" si="21"/>
        <v>#VALUE!</v>
      </c>
      <c r="AZ17" s="224" t="b">
        <f t="shared" si="22"/>
        <v>1</v>
      </c>
      <c r="BA17" s="224" t="e">
        <f t="shared" si="33"/>
        <v>#VALUE!</v>
      </c>
      <c r="BB17" s="224" t="e">
        <f t="shared" si="34"/>
        <v>#VALUE!</v>
      </c>
      <c r="BC17" s="224" t="e">
        <f t="shared" si="35"/>
        <v>#VALUE!</v>
      </c>
      <c r="BD17" s="225" t="e">
        <f t="shared" si="23"/>
        <v>#VALUE!</v>
      </c>
      <c r="BE17" s="225" t="e">
        <f t="shared" si="24"/>
        <v>#VALUE!</v>
      </c>
      <c r="BF17" s="225" t="e">
        <f t="shared" si="25"/>
        <v>#VALUE!</v>
      </c>
      <c r="BG17" s="226" t="e">
        <f t="shared" si="26"/>
        <v>#VALUE!</v>
      </c>
      <c r="BH17" s="227" t="e">
        <f t="shared" si="27"/>
        <v>#VALUE!</v>
      </c>
    </row>
    <row r="18" spans="1:60" x14ac:dyDescent="0.25">
      <c r="A18" s="216" t="str">
        <f t="shared" si="36"/>
        <v/>
      </c>
      <c r="B18" s="217" t="str">
        <f t="shared" si="37"/>
        <v/>
      </c>
      <c r="C18" s="217" t="str">
        <f t="shared" si="38"/>
        <v/>
      </c>
      <c r="D18" s="217" t="str">
        <f t="shared" si="39"/>
        <v/>
      </c>
      <c r="E18" s="217" t="str">
        <f t="shared" si="40"/>
        <v/>
      </c>
      <c r="F18" s="217" t="str">
        <f t="shared" si="41"/>
        <v/>
      </c>
      <c r="G18" s="217" t="str">
        <f t="shared" si="42"/>
        <v/>
      </c>
      <c r="H18" s="218" t="str">
        <f t="shared" si="43"/>
        <v/>
      </c>
      <c r="I18" s="219" t="str">
        <f t="shared" si="44"/>
        <v/>
      </c>
      <c r="J18" s="219" t="str">
        <f t="shared" si="45"/>
        <v/>
      </c>
      <c r="K18" s="206" t="str">
        <f t="shared" si="46"/>
        <v/>
      </c>
      <c r="L18" s="272" t="str">
        <f t="shared" si="47"/>
        <v/>
      </c>
      <c r="M18" s="216">
        <f>IF(最早可退休日期!$D$2&lt;&gt;"職員",Y20,IF(AND($AS$3&lt;$AS$2,$AS$4&lt;$AS$2),Y20,IF($AS$3&lt;$AS$2,Y19,Y18)))</f>
        <v>115</v>
      </c>
      <c r="N18" s="217">
        <f>IF(最早可退休日期!$D$2&lt;&gt;"職員",Z20,IF(AND($AS$3&lt;$AS$2,$AS$4&lt;$AS$2),Z20,IF($AS$3&lt;$AS$2,Z19,Z18)))</f>
        <v>84</v>
      </c>
      <c r="O18" s="217">
        <f>IF(最早可退休日期!$D$2&lt;&gt;"職員",AA20,IF(AND($AS$3&lt;$AS$2,$AS$4&lt;$AS$2),AA20,IF($AS$3&lt;$AS$2,AA19,AA18)))</f>
        <v>58</v>
      </c>
      <c r="P18" s="217">
        <f>IF(最早可退休日期!$D$2&lt;&gt;"職員",AB20,IF(AND($AS$3&lt;$AS$2,$AS$4&lt;$AS$2),AB20,IF($AS$3&lt;$AS$2,AB19,AB18)))</f>
        <v>50</v>
      </c>
      <c r="Q18" s="217">
        <f>IF(最早可退休日期!$D$2&lt;&gt;"職員",AC20,IF(AND($AS$3&lt;$AS$2,$AS$4&lt;$AS$2),AC20,IF($AS$3&lt;$AS$2,AC19,AC18)))</f>
        <v>115</v>
      </c>
      <c r="R18" s="217" t="e">
        <f>IF(最早可退休日期!$D$2&lt;&gt;"職員",AD20,IF(AND($AS$3&lt;$AS$2,$AS$4&lt;$AS$2),AD20,IF($AS$3&lt;$AS$2,AD19,AD18)))</f>
        <v>#VALUE!</v>
      </c>
      <c r="S18" s="217" t="e">
        <f>IF(最早可退休日期!$D$2&lt;&gt;"職員",AE20,IF(AND($AS$3&lt;$AS$2,$AS$4&lt;$AS$2),AE20,IF($AS$3&lt;$AS$2,AE19,AE18)))</f>
        <v>#VALUE!</v>
      </c>
      <c r="T18" s="218" t="str">
        <f>IF(最早可退休日期!$D$2&lt;&gt;"職員",AF20,IF(AND($AS$3&lt;$AS$2,$AS$4&lt;$AS$2),AF20,IF($AS$3&lt;$AS$2,AF19,AF18)))</f>
        <v>115年8月1日</v>
      </c>
      <c r="U18" s="219" t="e">
        <f>IF(最早可退休日期!$D$2&lt;&gt;"職員",AG20,IF(AND($AS$3&lt;$AS$2,$AS$4&lt;$AS$2),AG20,IF($AS$3&lt;$AS$2,AG19,AG18)))</f>
        <v>#VALUE!</v>
      </c>
      <c r="V18" s="219" t="e">
        <f>IF(最早可退休日期!$D$2&lt;&gt;"職員",AH20,IF(AND($AS$3&lt;$AS$2,$AS$4&lt;$AS$2),AH20,IF($AS$3&lt;$AS$2,AH19,AH18)))</f>
        <v>#VALUE!</v>
      </c>
      <c r="W18" s="206" t="e">
        <f>IF(最早可退休日期!$D$2&lt;&gt;"職員",AI20,IF(AND($AS$3&lt;$AS$2,$AS$4&lt;$AS$2),AI20,IF($AS$3&lt;$AS$2,AI19,AI18)))</f>
        <v>#VALUE!</v>
      </c>
      <c r="X18" s="207" t="e">
        <f>IF(最早可退休日期!$D$2&lt;&gt;"職員",AJ20,IF(AND($AS$3&lt;$AS$2,$AS$4&lt;$AS$2),AJ20,IF($AS$3&lt;$AS$2,AJ19,AJ18)))</f>
        <v>#VALUE!</v>
      </c>
      <c r="Y18" s="217">
        <f t="shared" si="0"/>
        <v>114</v>
      </c>
      <c r="Z18" s="217">
        <f t="shared" si="31"/>
        <v>83</v>
      </c>
      <c r="AA18" s="217">
        <f>IF(最早退休日期!$B$1="中等以下教師",58,IF(Y18&gt;=122,65,IF(Y18&lt;107,50,VLOOKUP(Y18,Legal_Year,3,0))))</f>
        <v>58</v>
      </c>
      <c r="AB18" s="217">
        <f t="shared" si="28"/>
        <v>50</v>
      </c>
      <c r="AC18" s="217">
        <f t="shared" si="2"/>
        <v>114</v>
      </c>
      <c r="AD18" s="217" t="e">
        <f t="shared" si="3"/>
        <v>#VALUE!</v>
      </c>
      <c r="AE18" s="217" t="e">
        <f t="shared" si="29"/>
        <v>#VALUE!</v>
      </c>
      <c r="AF18" s="227" t="str">
        <f t="shared" si="5"/>
        <v>114年8月1日</v>
      </c>
      <c r="AG18" s="219" t="e">
        <f t="shared" si="6"/>
        <v>#VALUE!</v>
      </c>
      <c r="AH18" s="219" t="e">
        <f t="shared" si="7"/>
        <v>#VALUE!</v>
      </c>
      <c r="AI18" s="206" t="e">
        <f t="shared" si="8"/>
        <v>#VALUE!</v>
      </c>
      <c r="AJ18" s="207" t="e">
        <f t="shared" si="9"/>
        <v>#VALUE!</v>
      </c>
      <c r="AK18" s="217">
        <f t="shared" si="48"/>
        <v>114</v>
      </c>
      <c r="AL18" s="217" t="e">
        <f t="shared" si="10"/>
        <v>#VALUE!</v>
      </c>
      <c r="AM18" s="220" t="e">
        <f t="shared" si="11"/>
        <v>#VALUE!</v>
      </c>
      <c r="AN18" s="220" t="e">
        <f t="shared" si="12"/>
        <v>#VALUE!</v>
      </c>
      <c r="AO18" s="220" t="e">
        <f t="shared" si="13"/>
        <v>#VALUE!</v>
      </c>
      <c r="AP18" s="221" t="e">
        <f t="shared" si="14"/>
        <v>#VALUE!</v>
      </c>
      <c r="AQ18" s="221" t="e">
        <f t="shared" si="15"/>
        <v>#VALUE!</v>
      </c>
      <c r="AR18" s="222" t="e">
        <f t="shared" si="16"/>
        <v>#VALUE!</v>
      </c>
      <c r="AS18" s="223">
        <f>IF(最早退休日期!$B$2="職員",MAX(IF(ISERROR(DATEVALUE(CONCATENATE(AK18+1911,"/",$AA$1000,"/",$AB$1000))),DATEVALUE(CONCATENATE(AK18+1911,"/",3,"/",1)),DATEVALUE(CONCATENATE(AK18+1911,"/",$AA$1000,"/",$AB$1000))),AR18),DATEVALUE(CONCATENATE(AK18+1911,"/8/1")))</f>
        <v>45870</v>
      </c>
      <c r="AT18" s="224" t="e">
        <f t="shared" si="17"/>
        <v>#VALUE!</v>
      </c>
      <c r="AU18" s="224" t="e">
        <f t="shared" si="18"/>
        <v>#VALUE!</v>
      </c>
      <c r="AV18" s="224" t="e">
        <f t="shared" si="32"/>
        <v>#VALUE!</v>
      </c>
      <c r="AW18" s="224" t="e">
        <f t="shared" si="19"/>
        <v>#VALUE!</v>
      </c>
      <c r="AX18" s="224" t="b">
        <f t="shared" si="20"/>
        <v>1</v>
      </c>
      <c r="AY18" s="224" t="e">
        <f t="shared" si="21"/>
        <v>#VALUE!</v>
      </c>
      <c r="AZ18" s="224" t="b">
        <f t="shared" si="22"/>
        <v>1</v>
      </c>
      <c r="BA18" s="224" t="e">
        <f t="shared" si="33"/>
        <v>#VALUE!</v>
      </c>
      <c r="BB18" s="224" t="e">
        <f t="shared" si="34"/>
        <v>#VALUE!</v>
      </c>
      <c r="BC18" s="224" t="e">
        <f t="shared" si="35"/>
        <v>#VALUE!</v>
      </c>
      <c r="BD18" s="225" t="e">
        <f t="shared" si="23"/>
        <v>#VALUE!</v>
      </c>
      <c r="BE18" s="225" t="e">
        <f t="shared" si="24"/>
        <v>#VALUE!</v>
      </c>
      <c r="BF18" s="225" t="e">
        <f t="shared" si="25"/>
        <v>#VALUE!</v>
      </c>
      <c r="BG18" s="226" t="e">
        <f t="shared" si="26"/>
        <v>#VALUE!</v>
      </c>
      <c r="BH18" s="227" t="e">
        <f t="shared" si="27"/>
        <v>#VALUE!</v>
      </c>
    </row>
    <row r="19" spans="1:60" x14ac:dyDescent="0.25">
      <c r="A19" s="216" t="str">
        <f t="shared" si="36"/>
        <v/>
      </c>
      <c r="B19" s="217" t="str">
        <f t="shared" si="37"/>
        <v/>
      </c>
      <c r="C19" s="217" t="str">
        <f t="shared" si="38"/>
        <v/>
      </c>
      <c r="D19" s="217" t="str">
        <f t="shared" si="39"/>
        <v/>
      </c>
      <c r="E19" s="217" t="str">
        <f t="shared" si="40"/>
        <v/>
      </c>
      <c r="F19" s="217" t="str">
        <f t="shared" si="41"/>
        <v/>
      </c>
      <c r="G19" s="217" t="str">
        <f t="shared" si="42"/>
        <v/>
      </c>
      <c r="H19" s="218" t="str">
        <f t="shared" si="43"/>
        <v/>
      </c>
      <c r="I19" s="219" t="str">
        <f t="shared" si="44"/>
        <v/>
      </c>
      <c r="J19" s="219" t="str">
        <f t="shared" si="45"/>
        <v/>
      </c>
      <c r="K19" s="206" t="str">
        <f t="shared" si="46"/>
        <v/>
      </c>
      <c r="L19" s="272" t="str">
        <f t="shared" si="47"/>
        <v/>
      </c>
      <c r="M19" s="216">
        <f>IF(最早可退休日期!$D$2&lt;&gt;"職員",Y21,IF(AND($AS$3&lt;$AS$2,$AS$4&lt;$AS$2),Y21,IF($AS$3&lt;$AS$2,Y20,Y19)))</f>
        <v>116</v>
      </c>
      <c r="N19" s="217">
        <f>IF(最早可退休日期!$D$2&lt;&gt;"職員",Z21,IF(AND($AS$3&lt;$AS$2,$AS$4&lt;$AS$2),Z21,IF($AS$3&lt;$AS$2,Z20,Z19)))</f>
        <v>85</v>
      </c>
      <c r="O19" s="217">
        <f>IF(最早可退休日期!$D$2&lt;&gt;"職員",AA21,IF(AND($AS$3&lt;$AS$2,$AS$4&lt;$AS$2),AA21,IF($AS$3&lt;$AS$2,AA20,AA19)))</f>
        <v>58</v>
      </c>
      <c r="P19" s="217">
        <f>IF(最早可退休日期!$D$2&lt;&gt;"職員",AB21,IF(AND($AS$3&lt;$AS$2,$AS$4&lt;$AS$2),AB21,IF($AS$3&lt;$AS$2,AB20,AB19)))</f>
        <v>55</v>
      </c>
      <c r="Q19" s="217">
        <f>IF(最早可退休日期!$D$2&lt;&gt;"職員",AC21,IF(AND($AS$3&lt;$AS$2,$AS$4&lt;$AS$2),AC21,IF($AS$3&lt;$AS$2,AC20,AC19)))</f>
        <v>116</v>
      </c>
      <c r="R19" s="217" t="e">
        <f>IF(最早可退休日期!$D$2&lt;&gt;"職員",AD21,IF(AND($AS$3&lt;$AS$2,$AS$4&lt;$AS$2),AD21,IF($AS$3&lt;$AS$2,AD20,AD19)))</f>
        <v>#VALUE!</v>
      </c>
      <c r="S19" s="217" t="e">
        <f>IF(最早可退休日期!$D$2&lt;&gt;"職員",AE21,IF(AND($AS$3&lt;$AS$2,$AS$4&lt;$AS$2),AE21,IF($AS$3&lt;$AS$2,AE20,AE19)))</f>
        <v>#VALUE!</v>
      </c>
      <c r="T19" s="218" t="str">
        <f>IF(最早可退休日期!$D$2&lt;&gt;"職員",AF21,IF(AND($AS$3&lt;$AS$2,$AS$4&lt;$AS$2),AF21,IF($AS$3&lt;$AS$2,AF20,AF19)))</f>
        <v>116年2月1日</v>
      </c>
      <c r="U19" s="219" t="e">
        <f>IF(最早可退休日期!$D$2&lt;&gt;"職員",AG21,IF(AND($AS$3&lt;$AS$2,$AS$4&lt;$AS$2),AG21,IF($AS$3&lt;$AS$2,AG20,AG19)))</f>
        <v>#VALUE!</v>
      </c>
      <c r="V19" s="219" t="e">
        <f>IF(最早可退休日期!$D$2&lt;&gt;"職員",AH21,IF(AND($AS$3&lt;$AS$2,$AS$4&lt;$AS$2),AH21,IF($AS$3&lt;$AS$2,AH20,AH19)))</f>
        <v>#VALUE!</v>
      </c>
      <c r="W19" s="206" t="e">
        <f>IF(最早可退休日期!$D$2&lt;&gt;"職員",AI21,IF(AND($AS$3&lt;$AS$2,$AS$4&lt;$AS$2),AI21,IF($AS$3&lt;$AS$2,AI20,AI19)))</f>
        <v>#VALUE!</v>
      </c>
      <c r="X19" s="207" t="e">
        <f>IF(最早可退休日期!$D$2&lt;&gt;"職員",AJ21,IF(AND($AS$3&lt;$AS$2,$AS$4&lt;$AS$2),AJ21,IF($AS$3&lt;$AS$2,AJ20,AJ19)))</f>
        <v>#VALUE!</v>
      </c>
      <c r="Y19" s="217">
        <f t="shared" si="0"/>
        <v>115</v>
      </c>
      <c r="Z19" s="217">
        <f t="shared" si="31"/>
        <v>84</v>
      </c>
      <c r="AA19" s="217">
        <f>IF(最早退休日期!$B$1="中等以下教師",58,IF(Y19&gt;=122,65,IF(Y19&lt;107,50,VLOOKUP(Y19,Legal_Year,3,0))))</f>
        <v>58</v>
      </c>
      <c r="AB19" s="217">
        <f t="shared" si="28"/>
        <v>50</v>
      </c>
      <c r="AC19" s="217">
        <f t="shared" si="2"/>
        <v>115</v>
      </c>
      <c r="AD19" s="217" t="e">
        <f t="shared" si="3"/>
        <v>#VALUE!</v>
      </c>
      <c r="AE19" s="217" t="e">
        <f t="shared" si="29"/>
        <v>#VALUE!</v>
      </c>
      <c r="AF19" s="227" t="str">
        <f t="shared" si="5"/>
        <v>115年2月1日</v>
      </c>
      <c r="AG19" s="219" t="e">
        <f t="shared" si="6"/>
        <v>#VALUE!</v>
      </c>
      <c r="AH19" s="219" t="e">
        <f t="shared" si="7"/>
        <v>#VALUE!</v>
      </c>
      <c r="AI19" s="206" t="e">
        <f t="shared" si="8"/>
        <v>#VALUE!</v>
      </c>
      <c r="AJ19" s="207" t="e">
        <f t="shared" si="9"/>
        <v>#VALUE!</v>
      </c>
      <c r="AK19" s="217">
        <f t="shared" si="48"/>
        <v>115</v>
      </c>
      <c r="AL19" s="217" t="e">
        <f t="shared" si="10"/>
        <v>#VALUE!</v>
      </c>
      <c r="AM19" s="220" t="e">
        <f t="shared" si="11"/>
        <v>#VALUE!</v>
      </c>
      <c r="AN19" s="220" t="e">
        <f t="shared" si="12"/>
        <v>#VALUE!</v>
      </c>
      <c r="AO19" s="220" t="e">
        <f t="shared" si="13"/>
        <v>#VALUE!</v>
      </c>
      <c r="AP19" s="221" t="e">
        <f t="shared" si="14"/>
        <v>#VALUE!</v>
      </c>
      <c r="AQ19" s="221" t="e">
        <f t="shared" si="15"/>
        <v>#VALUE!</v>
      </c>
      <c r="AR19" s="222" t="e">
        <f t="shared" si="16"/>
        <v>#VALUE!</v>
      </c>
      <c r="AS19" s="223">
        <f>IF(最早退休日期!$B$2="職員",MIN(IF(ISERROR(DATEVALUE(CONCATENATE(AK19+1911,"/",$AA$1000,"/",$AB$1000))),DATEVALUE(CONCATENATE(AK19+1911,"/",3,"/",1)),DATEVALUE(CONCATENATE(AK19+1911,"/",$AA$1000,"/",$AB$1000))),AR19),DATEVALUE(CONCATENATE(AK19+1911,"/2/1")))</f>
        <v>46054</v>
      </c>
      <c r="AT19" s="224" t="e">
        <f t="shared" si="17"/>
        <v>#VALUE!</v>
      </c>
      <c r="AU19" s="224" t="e">
        <f t="shared" si="18"/>
        <v>#VALUE!</v>
      </c>
      <c r="AV19" s="224" t="e">
        <f t="shared" si="32"/>
        <v>#VALUE!</v>
      </c>
      <c r="AW19" s="224" t="e">
        <f t="shared" si="19"/>
        <v>#VALUE!</v>
      </c>
      <c r="AX19" s="224" t="b">
        <f t="shared" si="20"/>
        <v>1</v>
      </c>
      <c r="AY19" s="224" t="e">
        <f t="shared" si="21"/>
        <v>#VALUE!</v>
      </c>
      <c r="AZ19" s="224" t="b">
        <f t="shared" si="22"/>
        <v>1</v>
      </c>
      <c r="BA19" s="224" t="e">
        <f t="shared" si="33"/>
        <v>#VALUE!</v>
      </c>
      <c r="BB19" s="224" t="e">
        <f t="shared" si="34"/>
        <v>#VALUE!</v>
      </c>
      <c r="BC19" s="224" t="e">
        <f t="shared" si="35"/>
        <v>#VALUE!</v>
      </c>
      <c r="BD19" s="225" t="e">
        <f t="shared" si="23"/>
        <v>#VALUE!</v>
      </c>
      <c r="BE19" s="225" t="e">
        <f t="shared" si="24"/>
        <v>#VALUE!</v>
      </c>
      <c r="BF19" s="225" t="e">
        <f t="shared" si="25"/>
        <v>#VALUE!</v>
      </c>
      <c r="BG19" s="226" t="e">
        <f t="shared" si="26"/>
        <v>#VALUE!</v>
      </c>
      <c r="BH19" s="227" t="e">
        <f t="shared" si="27"/>
        <v>#VALUE!</v>
      </c>
    </row>
    <row r="20" spans="1:60" x14ac:dyDescent="0.25">
      <c r="A20" s="216" t="str">
        <f t="shared" si="36"/>
        <v/>
      </c>
      <c r="B20" s="217" t="str">
        <f t="shared" si="37"/>
        <v/>
      </c>
      <c r="C20" s="217" t="str">
        <f t="shared" si="38"/>
        <v/>
      </c>
      <c r="D20" s="217" t="str">
        <f t="shared" si="39"/>
        <v/>
      </c>
      <c r="E20" s="217" t="str">
        <f t="shared" si="40"/>
        <v/>
      </c>
      <c r="F20" s="217" t="str">
        <f t="shared" si="41"/>
        <v/>
      </c>
      <c r="G20" s="217" t="str">
        <f t="shared" si="42"/>
        <v/>
      </c>
      <c r="H20" s="218" t="str">
        <f t="shared" si="43"/>
        <v/>
      </c>
      <c r="I20" s="219" t="str">
        <f t="shared" si="44"/>
        <v/>
      </c>
      <c r="J20" s="219" t="str">
        <f t="shared" si="45"/>
        <v/>
      </c>
      <c r="K20" s="206" t="str">
        <f t="shared" si="46"/>
        <v/>
      </c>
      <c r="L20" s="272" t="str">
        <f t="shared" si="47"/>
        <v/>
      </c>
      <c r="M20" s="216">
        <f>IF(最早可退休日期!$D$2&lt;&gt;"職員",Y22,IF(AND($AS$3&lt;$AS$2,$AS$4&lt;$AS$2),Y22,IF($AS$3&lt;$AS$2,Y21,Y20)))</f>
        <v>116</v>
      </c>
      <c r="N20" s="217">
        <f>IF(最早可退休日期!$D$2&lt;&gt;"職員",Z22,IF(AND($AS$3&lt;$AS$2,$AS$4&lt;$AS$2),Z22,IF($AS$3&lt;$AS$2,Z21,Z20)))</f>
        <v>85</v>
      </c>
      <c r="O20" s="217">
        <f>IF(最早可退休日期!$D$2&lt;&gt;"職員",AA22,IF(AND($AS$3&lt;$AS$2,$AS$4&lt;$AS$2),AA22,IF($AS$3&lt;$AS$2,AA21,AA20)))</f>
        <v>58</v>
      </c>
      <c r="P20" s="217">
        <f>IF(最早可退休日期!$D$2&lt;&gt;"職員",AB22,IF(AND($AS$3&lt;$AS$2,$AS$4&lt;$AS$2),AB22,IF($AS$3&lt;$AS$2,AB21,AB20)))</f>
        <v>55</v>
      </c>
      <c r="Q20" s="217">
        <f>IF(最早可退休日期!$D$2&lt;&gt;"職員",AC22,IF(AND($AS$3&lt;$AS$2,$AS$4&lt;$AS$2),AC22,IF($AS$3&lt;$AS$2,AC21,AC20)))</f>
        <v>116</v>
      </c>
      <c r="R20" s="217" t="e">
        <f>IF(最早可退休日期!$D$2&lt;&gt;"職員",AD22,IF(AND($AS$3&lt;$AS$2,$AS$4&lt;$AS$2),AD22,IF($AS$3&lt;$AS$2,AD21,AD20)))</f>
        <v>#VALUE!</v>
      </c>
      <c r="S20" s="217" t="e">
        <f>IF(最早可退休日期!$D$2&lt;&gt;"職員",AE22,IF(AND($AS$3&lt;$AS$2,$AS$4&lt;$AS$2),AE22,IF($AS$3&lt;$AS$2,AE21,AE20)))</f>
        <v>#VALUE!</v>
      </c>
      <c r="T20" s="218" t="str">
        <f>IF(最早可退休日期!$D$2&lt;&gt;"職員",AF22,IF(AND($AS$3&lt;$AS$2,$AS$4&lt;$AS$2),AF22,IF($AS$3&lt;$AS$2,AF21,AF20)))</f>
        <v>116年8月1日</v>
      </c>
      <c r="U20" s="219" t="e">
        <f>IF(最早可退休日期!$D$2&lt;&gt;"職員",AG22,IF(AND($AS$3&lt;$AS$2,$AS$4&lt;$AS$2),AG22,IF($AS$3&lt;$AS$2,AG21,AG20)))</f>
        <v>#VALUE!</v>
      </c>
      <c r="V20" s="219" t="e">
        <f>IF(最早可退休日期!$D$2&lt;&gt;"職員",AH22,IF(AND($AS$3&lt;$AS$2,$AS$4&lt;$AS$2),AH22,IF($AS$3&lt;$AS$2,AH21,AH20)))</f>
        <v>#VALUE!</v>
      </c>
      <c r="W20" s="206" t="e">
        <f>IF(最早可退休日期!$D$2&lt;&gt;"職員",AI22,IF(AND($AS$3&lt;$AS$2,$AS$4&lt;$AS$2),AI22,IF($AS$3&lt;$AS$2,AI21,AI20)))</f>
        <v>#VALUE!</v>
      </c>
      <c r="X20" s="207" t="e">
        <f>IF(最早可退休日期!$D$2&lt;&gt;"職員",AJ22,IF(AND($AS$3&lt;$AS$2,$AS$4&lt;$AS$2),AJ22,IF($AS$3&lt;$AS$2,AJ21,AJ20)))</f>
        <v>#VALUE!</v>
      </c>
      <c r="Y20" s="217">
        <f t="shared" si="0"/>
        <v>115</v>
      </c>
      <c r="Z20" s="217">
        <f t="shared" si="31"/>
        <v>84</v>
      </c>
      <c r="AA20" s="217">
        <f>IF(最早退休日期!$B$1="中等以下教師",58,IF(Y20&gt;=122,65,IF(Y20&lt;107,50,VLOOKUP(Y20,Legal_Year,3,0))))</f>
        <v>58</v>
      </c>
      <c r="AB20" s="217">
        <f t="shared" si="28"/>
        <v>50</v>
      </c>
      <c r="AC20" s="217">
        <f t="shared" si="2"/>
        <v>115</v>
      </c>
      <c r="AD20" s="217" t="e">
        <f t="shared" si="3"/>
        <v>#VALUE!</v>
      </c>
      <c r="AE20" s="217" t="e">
        <f t="shared" si="29"/>
        <v>#VALUE!</v>
      </c>
      <c r="AF20" s="227" t="str">
        <f t="shared" si="5"/>
        <v>115年8月1日</v>
      </c>
      <c r="AG20" s="219" t="e">
        <f t="shared" si="6"/>
        <v>#VALUE!</v>
      </c>
      <c r="AH20" s="219" t="e">
        <f t="shared" si="7"/>
        <v>#VALUE!</v>
      </c>
      <c r="AI20" s="206" t="e">
        <f t="shared" si="8"/>
        <v>#VALUE!</v>
      </c>
      <c r="AJ20" s="207" t="e">
        <f t="shared" si="9"/>
        <v>#VALUE!</v>
      </c>
      <c r="AK20" s="217">
        <f t="shared" si="48"/>
        <v>115</v>
      </c>
      <c r="AL20" s="217" t="e">
        <f t="shared" si="10"/>
        <v>#VALUE!</v>
      </c>
      <c r="AM20" s="220" t="e">
        <f t="shared" si="11"/>
        <v>#VALUE!</v>
      </c>
      <c r="AN20" s="220" t="e">
        <f t="shared" si="12"/>
        <v>#VALUE!</v>
      </c>
      <c r="AO20" s="220" t="e">
        <f t="shared" si="13"/>
        <v>#VALUE!</v>
      </c>
      <c r="AP20" s="221" t="e">
        <f t="shared" si="14"/>
        <v>#VALUE!</v>
      </c>
      <c r="AQ20" s="221" t="e">
        <f t="shared" si="15"/>
        <v>#VALUE!</v>
      </c>
      <c r="AR20" s="222" t="e">
        <f t="shared" si="16"/>
        <v>#VALUE!</v>
      </c>
      <c r="AS20" s="223">
        <f>IF(最早退休日期!$B$2="職員",MAX(IF(ISERROR(DATEVALUE(CONCATENATE(AK20+1911,"/",$AA$1000,"/",$AB$1000))),DATEVALUE(CONCATENATE(AK20+1911,"/",3,"/",1)),DATEVALUE(CONCATENATE(AK20+1911,"/",$AA$1000,"/",$AB$1000))),AR20),DATEVALUE(CONCATENATE(AK20+1911,"/8/1")))</f>
        <v>46235</v>
      </c>
      <c r="AT20" s="224" t="e">
        <f t="shared" si="17"/>
        <v>#VALUE!</v>
      </c>
      <c r="AU20" s="224" t="e">
        <f t="shared" si="18"/>
        <v>#VALUE!</v>
      </c>
      <c r="AV20" s="224" t="e">
        <f t="shared" si="32"/>
        <v>#VALUE!</v>
      </c>
      <c r="AW20" s="224" t="e">
        <f t="shared" si="19"/>
        <v>#VALUE!</v>
      </c>
      <c r="AX20" s="224" t="b">
        <f t="shared" si="20"/>
        <v>1</v>
      </c>
      <c r="AY20" s="224" t="e">
        <f t="shared" si="21"/>
        <v>#VALUE!</v>
      </c>
      <c r="AZ20" s="224" t="b">
        <f t="shared" si="22"/>
        <v>1</v>
      </c>
      <c r="BA20" s="224" t="e">
        <f t="shared" si="33"/>
        <v>#VALUE!</v>
      </c>
      <c r="BB20" s="224" t="e">
        <f t="shared" si="34"/>
        <v>#VALUE!</v>
      </c>
      <c r="BC20" s="224" t="e">
        <f t="shared" si="35"/>
        <v>#VALUE!</v>
      </c>
      <c r="BD20" s="225" t="e">
        <f t="shared" si="23"/>
        <v>#VALUE!</v>
      </c>
      <c r="BE20" s="225" t="e">
        <f t="shared" si="24"/>
        <v>#VALUE!</v>
      </c>
      <c r="BF20" s="225" t="e">
        <f t="shared" si="25"/>
        <v>#VALUE!</v>
      </c>
      <c r="BG20" s="226" t="e">
        <f t="shared" si="26"/>
        <v>#VALUE!</v>
      </c>
      <c r="BH20" s="227" t="e">
        <f t="shared" si="27"/>
        <v>#VALUE!</v>
      </c>
    </row>
    <row r="21" spans="1:60" x14ac:dyDescent="0.25">
      <c r="A21" s="216" t="str">
        <f t="shared" si="36"/>
        <v/>
      </c>
      <c r="B21" s="217" t="str">
        <f t="shared" si="37"/>
        <v/>
      </c>
      <c r="C21" s="217" t="str">
        <f t="shared" si="38"/>
        <v/>
      </c>
      <c r="D21" s="217" t="str">
        <f t="shared" si="39"/>
        <v/>
      </c>
      <c r="E21" s="217" t="str">
        <f t="shared" si="40"/>
        <v/>
      </c>
      <c r="F21" s="217" t="str">
        <f t="shared" si="41"/>
        <v/>
      </c>
      <c r="G21" s="217" t="str">
        <f t="shared" si="42"/>
        <v/>
      </c>
      <c r="H21" s="218" t="str">
        <f t="shared" si="43"/>
        <v/>
      </c>
      <c r="I21" s="219" t="str">
        <f t="shared" si="44"/>
        <v/>
      </c>
      <c r="J21" s="219" t="str">
        <f t="shared" si="45"/>
        <v/>
      </c>
      <c r="K21" s="206" t="str">
        <f t="shared" si="46"/>
        <v/>
      </c>
      <c r="L21" s="272" t="str">
        <f t="shared" si="47"/>
        <v/>
      </c>
      <c r="M21" s="216">
        <f>IF(最早可退休日期!$D$2&lt;&gt;"職員",Y23,IF(AND($AS$3&lt;$AS$2,$AS$4&lt;$AS$2),Y23,IF($AS$3&lt;$AS$2,Y22,Y21)))</f>
        <v>117</v>
      </c>
      <c r="N21" s="217">
        <f>IF(最早可退休日期!$D$2&lt;&gt;"職員",Z23,IF(AND($AS$3&lt;$AS$2,$AS$4&lt;$AS$2),Z23,IF($AS$3&lt;$AS$2,Z22,Z21)))</f>
        <v>86</v>
      </c>
      <c r="O21" s="217">
        <f>IF(最早可退休日期!$D$2&lt;&gt;"職員",AA23,IF(AND($AS$3&lt;$AS$2,$AS$4&lt;$AS$2),AA23,IF($AS$3&lt;$AS$2,AA22,AA21)))</f>
        <v>58</v>
      </c>
      <c r="P21" s="217">
        <f>IF(最早可退休日期!$D$2&lt;&gt;"職員",AB23,IF(AND($AS$3&lt;$AS$2,$AS$4&lt;$AS$2),AB23,IF($AS$3&lt;$AS$2,AB22,AB21)))</f>
        <v>55</v>
      </c>
      <c r="Q21" s="217">
        <f>IF(最早可退休日期!$D$2&lt;&gt;"職員",AC23,IF(AND($AS$3&lt;$AS$2,$AS$4&lt;$AS$2),AC23,IF($AS$3&lt;$AS$2,AC22,AC21)))</f>
        <v>117</v>
      </c>
      <c r="R21" s="217" t="e">
        <f>IF(最早可退休日期!$D$2&lt;&gt;"職員",AD23,IF(AND($AS$3&lt;$AS$2,$AS$4&lt;$AS$2),AD23,IF($AS$3&lt;$AS$2,AD22,AD21)))</f>
        <v>#VALUE!</v>
      </c>
      <c r="S21" s="217" t="e">
        <f>IF(最早可退休日期!$D$2&lt;&gt;"職員",AE23,IF(AND($AS$3&lt;$AS$2,$AS$4&lt;$AS$2),AE23,IF($AS$3&lt;$AS$2,AE22,AE21)))</f>
        <v>#VALUE!</v>
      </c>
      <c r="T21" s="218" t="str">
        <f>IF(最早可退休日期!$D$2&lt;&gt;"職員",AF23,IF(AND($AS$3&lt;$AS$2,$AS$4&lt;$AS$2),AF23,IF($AS$3&lt;$AS$2,AF22,AF21)))</f>
        <v>117年2月1日</v>
      </c>
      <c r="U21" s="219" t="e">
        <f>IF(最早可退休日期!$D$2&lt;&gt;"職員",AG23,IF(AND($AS$3&lt;$AS$2,$AS$4&lt;$AS$2),AG23,IF($AS$3&lt;$AS$2,AG22,AG21)))</f>
        <v>#VALUE!</v>
      </c>
      <c r="V21" s="219" t="e">
        <f>IF(最早可退休日期!$D$2&lt;&gt;"職員",AH23,IF(AND($AS$3&lt;$AS$2,$AS$4&lt;$AS$2),AH23,IF($AS$3&lt;$AS$2,AH22,AH21)))</f>
        <v>#VALUE!</v>
      </c>
      <c r="W21" s="206" t="e">
        <f>IF(最早可退休日期!$D$2&lt;&gt;"職員",AI23,IF(AND($AS$3&lt;$AS$2,$AS$4&lt;$AS$2),AI23,IF($AS$3&lt;$AS$2,AI22,AI21)))</f>
        <v>#VALUE!</v>
      </c>
      <c r="X21" s="207" t="e">
        <f>IF(最早可退休日期!$D$2&lt;&gt;"職員",AJ23,IF(AND($AS$3&lt;$AS$2,$AS$4&lt;$AS$2),AJ23,IF($AS$3&lt;$AS$2,AJ22,AJ21)))</f>
        <v>#VALUE!</v>
      </c>
      <c r="Y21" s="217">
        <f t="shared" si="0"/>
        <v>116</v>
      </c>
      <c r="Z21" s="217">
        <f t="shared" si="31"/>
        <v>85</v>
      </c>
      <c r="AA21" s="217">
        <f>IF(最早退休日期!$B$1="中等以下教師",58,IF(Y21&gt;=122,65,IF(Y21&lt;107,50,VLOOKUP(Y21,Legal_Year,3,0))))</f>
        <v>58</v>
      </c>
      <c r="AB21" s="217">
        <f t="shared" si="28"/>
        <v>55</v>
      </c>
      <c r="AC21" s="217">
        <f t="shared" si="2"/>
        <v>116</v>
      </c>
      <c r="AD21" s="217" t="e">
        <f t="shared" si="3"/>
        <v>#VALUE!</v>
      </c>
      <c r="AE21" s="217" t="e">
        <f t="shared" si="29"/>
        <v>#VALUE!</v>
      </c>
      <c r="AF21" s="227" t="str">
        <f t="shared" si="5"/>
        <v>116年2月1日</v>
      </c>
      <c r="AG21" s="219" t="e">
        <f t="shared" si="6"/>
        <v>#VALUE!</v>
      </c>
      <c r="AH21" s="219" t="e">
        <f t="shared" si="7"/>
        <v>#VALUE!</v>
      </c>
      <c r="AI21" s="206" t="e">
        <f t="shared" si="8"/>
        <v>#VALUE!</v>
      </c>
      <c r="AJ21" s="207" t="e">
        <f t="shared" si="9"/>
        <v>#VALUE!</v>
      </c>
      <c r="AK21" s="217">
        <f t="shared" si="48"/>
        <v>116</v>
      </c>
      <c r="AL21" s="217" t="e">
        <f t="shared" si="10"/>
        <v>#VALUE!</v>
      </c>
      <c r="AM21" s="220" t="e">
        <f t="shared" si="11"/>
        <v>#VALUE!</v>
      </c>
      <c r="AN21" s="220" t="e">
        <f t="shared" si="12"/>
        <v>#VALUE!</v>
      </c>
      <c r="AO21" s="220" t="e">
        <f t="shared" si="13"/>
        <v>#VALUE!</v>
      </c>
      <c r="AP21" s="221" t="e">
        <f t="shared" si="14"/>
        <v>#VALUE!</v>
      </c>
      <c r="AQ21" s="221" t="e">
        <f t="shared" si="15"/>
        <v>#VALUE!</v>
      </c>
      <c r="AR21" s="222" t="e">
        <f t="shared" si="16"/>
        <v>#VALUE!</v>
      </c>
      <c r="AS21" s="223">
        <f>IF(最早退休日期!$B$2="職員",MIN(IF(ISERROR(DATEVALUE(CONCATENATE(AK21+1911,"/",$AA$1000,"/",$AB$1000))),DATEVALUE(CONCATENATE(AK21+1911,"/",3,"/",1)),DATEVALUE(CONCATENATE(AK21+1911,"/",$AA$1000,"/",$AB$1000))),AR21),DATEVALUE(CONCATENATE(AK21+1911,"/2/1")))</f>
        <v>46419</v>
      </c>
      <c r="AT21" s="224" t="e">
        <f t="shared" si="17"/>
        <v>#VALUE!</v>
      </c>
      <c r="AU21" s="224" t="e">
        <f t="shared" si="18"/>
        <v>#VALUE!</v>
      </c>
      <c r="AV21" s="224" t="e">
        <f t="shared" si="32"/>
        <v>#VALUE!</v>
      </c>
      <c r="AW21" s="224" t="e">
        <f t="shared" si="19"/>
        <v>#VALUE!</v>
      </c>
      <c r="AX21" s="224" t="b">
        <f t="shared" si="20"/>
        <v>1</v>
      </c>
      <c r="AY21" s="224" t="e">
        <f t="shared" si="21"/>
        <v>#VALUE!</v>
      </c>
      <c r="AZ21" s="224" t="b">
        <f t="shared" si="22"/>
        <v>1</v>
      </c>
      <c r="BA21" s="224" t="e">
        <f t="shared" si="33"/>
        <v>#VALUE!</v>
      </c>
      <c r="BB21" s="224" t="e">
        <f t="shared" si="34"/>
        <v>#VALUE!</v>
      </c>
      <c r="BC21" s="224" t="e">
        <f t="shared" si="35"/>
        <v>#VALUE!</v>
      </c>
      <c r="BD21" s="225" t="e">
        <f t="shared" si="23"/>
        <v>#VALUE!</v>
      </c>
      <c r="BE21" s="225" t="e">
        <f t="shared" si="24"/>
        <v>#VALUE!</v>
      </c>
      <c r="BF21" s="225" t="e">
        <f t="shared" si="25"/>
        <v>#VALUE!</v>
      </c>
      <c r="BG21" s="226" t="e">
        <f t="shared" si="26"/>
        <v>#VALUE!</v>
      </c>
      <c r="BH21" s="227" t="e">
        <f t="shared" si="27"/>
        <v>#VALUE!</v>
      </c>
    </row>
    <row r="22" spans="1:60" x14ac:dyDescent="0.25">
      <c r="A22" s="216" t="str">
        <f t="shared" si="36"/>
        <v/>
      </c>
      <c r="B22" s="217" t="str">
        <f t="shared" si="37"/>
        <v/>
      </c>
      <c r="C22" s="217" t="str">
        <f t="shared" si="38"/>
        <v/>
      </c>
      <c r="D22" s="217" t="str">
        <f t="shared" si="39"/>
        <v/>
      </c>
      <c r="E22" s="217" t="str">
        <f t="shared" si="40"/>
        <v/>
      </c>
      <c r="F22" s="217" t="str">
        <f t="shared" si="41"/>
        <v/>
      </c>
      <c r="G22" s="217" t="str">
        <f t="shared" si="42"/>
        <v/>
      </c>
      <c r="H22" s="218" t="str">
        <f t="shared" si="43"/>
        <v/>
      </c>
      <c r="I22" s="219" t="str">
        <f t="shared" si="44"/>
        <v/>
      </c>
      <c r="J22" s="219" t="str">
        <f t="shared" si="45"/>
        <v/>
      </c>
      <c r="K22" s="206" t="str">
        <f t="shared" si="46"/>
        <v/>
      </c>
      <c r="L22" s="272" t="str">
        <f t="shared" si="47"/>
        <v/>
      </c>
      <c r="M22" s="216">
        <f>IF(最早可退休日期!$D$2&lt;&gt;"職員",Y24,IF(AND($AS$3&lt;$AS$2,$AS$4&lt;$AS$2),Y24,IF($AS$3&lt;$AS$2,Y23,Y22)))</f>
        <v>117</v>
      </c>
      <c r="N22" s="217">
        <f>IF(最早可退休日期!$D$2&lt;&gt;"職員",Z24,IF(AND($AS$3&lt;$AS$2,$AS$4&lt;$AS$2),Z24,IF($AS$3&lt;$AS$2,Z23,Z22)))</f>
        <v>86</v>
      </c>
      <c r="O22" s="217">
        <f>IF(最早可退休日期!$D$2&lt;&gt;"職員",AA24,IF(AND($AS$3&lt;$AS$2,$AS$4&lt;$AS$2),AA24,IF($AS$3&lt;$AS$2,AA23,AA22)))</f>
        <v>58</v>
      </c>
      <c r="P22" s="217">
        <f>IF(最早可退休日期!$D$2&lt;&gt;"職員",AB24,IF(AND($AS$3&lt;$AS$2,$AS$4&lt;$AS$2),AB24,IF($AS$3&lt;$AS$2,AB23,AB22)))</f>
        <v>55</v>
      </c>
      <c r="Q22" s="217">
        <f>IF(最早可退休日期!$D$2&lt;&gt;"職員",AC24,IF(AND($AS$3&lt;$AS$2,$AS$4&lt;$AS$2),AC24,IF($AS$3&lt;$AS$2,AC23,AC22)))</f>
        <v>117</v>
      </c>
      <c r="R22" s="217" t="e">
        <f>IF(最早可退休日期!$D$2&lt;&gt;"職員",AD24,IF(AND($AS$3&lt;$AS$2,$AS$4&lt;$AS$2),AD24,IF($AS$3&lt;$AS$2,AD23,AD22)))</f>
        <v>#VALUE!</v>
      </c>
      <c r="S22" s="217" t="e">
        <f>IF(最早可退休日期!$D$2&lt;&gt;"職員",AE24,IF(AND($AS$3&lt;$AS$2,$AS$4&lt;$AS$2),AE24,IF($AS$3&lt;$AS$2,AE23,AE22)))</f>
        <v>#VALUE!</v>
      </c>
      <c r="T22" s="218" t="str">
        <f>IF(最早可退休日期!$D$2&lt;&gt;"職員",AF24,IF(AND($AS$3&lt;$AS$2,$AS$4&lt;$AS$2),AF24,IF($AS$3&lt;$AS$2,AF23,AF22)))</f>
        <v>117年8月1日</v>
      </c>
      <c r="U22" s="219" t="e">
        <f>IF(最早可退休日期!$D$2&lt;&gt;"職員",AG24,IF(AND($AS$3&lt;$AS$2,$AS$4&lt;$AS$2),AG24,IF($AS$3&lt;$AS$2,AG23,AG22)))</f>
        <v>#VALUE!</v>
      </c>
      <c r="V22" s="219" t="e">
        <f>IF(最早可退休日期!$D$2&lt;&gt;"職員",AH24,IF(AND($AS$3&lt;$AS$2,$AS$4&lt;$AS$2),AH24,IF($AS$3&lt;$AS$2,AH23,AH22)))</f>
        <v>#VALUE!</v>
      </c>
      <c r="W22" s="206" t="e">
        <f>IF(最早可退休日期!$D$2&lt;&gt;"職員",AI24,IF(AND($AS$3&lt;$AS$2,$AS$4&lt;$AS$2),AI24,IF($AS$3&lt;$AS$2,AI23,AI22)))</f>
        <v>#VALUE!</v>
      </c>
      <c r="X22" s="207" t="e">
        <f>IF(最早可退休日期!$D$2&lt;&gt;"職員",AJ24,IF(AND($AS$3&lt;$AS$2,$AS$4&lt;$AS$2),AJ24,IF($AS$3&lt;$AS$2,AJ23,AJ22)))</f>
        <v>#VALUE!</v>
      </c>
      <c r="Y22" s="217">
        <f t="shared" si="0"/>
        <v>116</v>
      </c>
      <c r="Z22" s="217">
        <f t="shared" si="31"/>
        <v>85</v>
      </c>
      <c r="AA22" s="217">
        <f>IF(最早退休日期!$B$1="中等以下教師",58,IF(Y22&gt;=122,65,IF(Y22&lt;107,50,VLOOKUP(Y22,Legal_Year,3,0))))</f>
        <v>58</v>
      </c>
      <c r="AB22" s="217">
        <f t="shared" si="28"/>
        <v>55</v>
      </c>
      <c r="AC22" s="217">
        <f t="shared" si="2"/>
        <v>116</v>
      </c>
      <c r="AD22" s="217" t="e">
        <f t="shared" si="3"/>
        <v>#VALUE!</v>
      </c>
      <c r="AE22" s="217" t="e">
        <f t="shared" si="29"/>
        <v>#VALUE!</v>
      </c>
      <c r="AF22" s="227" t="str">
        <f t="shared" si="5"/>
        <v>116年8月1日</v>
      </c>
      <c r="AG22" s="219" t="e">
        <f t="shared" si="6"/>
        <v>#VALUE!</v>
      </c>
      <c r="AH22" s="219" t="e">
        <f t="shared" si="7"/>
        <v>#VALUE!</v>
      </c>
      <c r="AI22" s="206" t="e">
        <f t="shared" si="8"/>
        <v>#VALUE!</v>
      </c>
      <c r="AJ22" s="207" t="e">
        <f t="shared" si="9"/>
        <v>#VALUE!</v>
      </c>
      <c r="AK22" s="217">
        <f t="shared" si="48"/>
        <v>116</v>
      </c>
      <c r="AL22" s="217" t="e">
        <f t="shared" si="10"/>
        <v>#VALUE!</v>
      </c>
      <c r="AM22" s="220" t="e">
        <f t="shared" si="11"/>
        <v>#VALUE!</v>
      </c>
      <c r="AN22" s="220" t="e">
        <f t="shared" si="12"/>
        <v>#VALUE!</v>
      </c>
      <c r="AO22" s="220" t="e">
        <f t="shared" si="13"/>
        <v>#VALUE!</v>
      </c>
      <c r="AP22" s="221" t="e">
        <f t="shared" si="14"/>
        <v>#VALUE!</v>
      </c>
      <c r="AQ22" s="221" t="e">
        <f t="shared" si="15"/>
        <v>#VALUE!</v>
      </c>
      <c r="AR22" s="222" t="e">
        <f t="shared" si="16"/>
        <v>#VALUE!</v>
      </c>
      <c r="AS22" s="223">
        <f>IF(最早退休日期!$B$2="職員",MAX(IF(ISERROR(DATEVALUE(CONCATENATE(AK22+1911,"/",$AA$1000,"/",$AB$1000))),DATEVALUE(CONCATENATE(AK22+1911,"/",3,"/",1)),DATEVALUE(CONCATENATE(AK22+1911,"/",$AA$1000,"/",$AB$1000))),AR22),DATEVALUE(CONCATENATE(AK22+1911,"/8/1")))</f>
        <v>46600</v>
      </c>
      <c r="AT22" s="224" t="e">
        <f t="shared" si="17"/>
        <v>#VALUE!</v>
      </c>
      <c r="AU22" s="224" t="e">
        <f t="shared" si="18"/>
        <v>#VALUE!</v>
      </c>
      <c r="AV22" s="224" t="e">
        <f t="shared" si="32"/>
        <v>#VALUE!</v>
      </c>
      <c r="AW22" s="224" t="e">
        <f t="shared" si="19"/>
        <v>#VALUE!</v>
      </c>
      <c r="AX22" s="224" t="b">
        <f t="shared" si="20"/>
        <v>1</v>
      </c>
      <c r="AY22" s="224" t="e">
        <f t="shared" si="21"/>
        <v>#VALUE!</v>
      </c>
      <c r="AZ22" s="224" t="b">
        <f t="shared" si="22"/>
        <v>1</v>
      </c>
      <c r="BA22" s="224" t="e">
        <f t="shared" si="33"/>
        <v>#VALUE!</v>
      </c>
      <c r="BB22" s="224" t="e">
        <f t="shared" si="34"/>
        <v>#VALUE!</v>
      </c>
      <c r="BC22" s="224" t="e">
        <f t="shared" si="35"/>
        <v>#VALUE!</v>
      </c>
      <c r="BD22" s="225" t="e">
        <f t="shared" si="23"/>
        <v>#VALUE!</v>
      </c>
      <c r="BE22" s="225" t="e">
        <f t="shared" si="24"/>
        <v>#VALUE!</v>
      </c>
      <c r="BF22" s="225" t="e">
        <f t="shared" si="25"/>
        <v>#VALUE!</v>
      </c>
      <c r="BG22" s="226" t="e">
        <f t="shared" si="26"/>
        <v>#VALUE!</v>
      </c>
      <c r="BH22" s="227" t="e">
        <f t="shared" si="27"/>
        <v>#VALUE!</v>
      </c>
    </row>
    <row r="23" spans="1:60" x14ac:dyDescent="0.25">
      <c r="A23" s="216" t="str">
        <f t="shared" si="36"/>
        <v/>
      </c>
      <c r="B23" s="217" t="str">
        <f t="shared" si="37"/>
        <v/>
      </c>
      <c r="C23" s="217" t="str">
        <f t="shared" si="38"/>
        <v/>
      </c>
      <c r="D23" s="217" t="str">
        <f t="shared" si="39"/>
        <v/>
      </c>
      <c r="E23" s="217" t="str">
        <f t="shared" si="40"/>
        <v/>
      </c>
      <c r="F23" s="217" t="str">
        <f t="shared" si="41"/>
        <v/>
      </c>
      <c r="G23" s="217" t="str">
        <f t="shared" si="42"/>
        <v/>
      </c>
      <c r="H23" s="218" t="str">
        <f t="shared" si="43"/>
        <v/>
      </c>
      <c r="I23" s="219" t="str">
        <f t="shared" si="44"/>
        <v/>
      </c>
      <c r="J23" s="219" t="str">
        <f t="shared" si="45"/>
        <v/>
      </c>
      <c r="K23" s="206" t="str">
        <f t="shared" si="46"/>
        <v/>
      </c>
      <c r="L23" s="272" t="str">
        <f t="shared" si="47"/>
        <v/>
      </c>
      <c r="M23" s="216">
        <f>IF(最早可退休日期!$D$2&lt;&gt;"職員",Y25,IF(AND($AS$3&lt;$AS$2,$AS$4&lt;$AS$2),Y25,IF($AS$3&lt;$AS$2,Y24,Y23)))</f>
        <v>118</v>
      </c>
      <c r="N23" s="217">
        <f>IF(最早可退休日期!$D$2&lt;&gt;"職員",Z25,IF(AND($AS$3&lt;$AS$2,$AS$4&lt;$AS$2),Z25,IF($AS$3&lt;$AS$2,Z24,Z23)))</f>
        <v>87</v>
      </c>
      <c r="O23" s="217">
        <f>IF(最早可退休日期!$D$2&lt;&gt;"職員",AA25,IF(AND($AS$3&lt;$AS$2,$AS$4&lt;$AS$2),AA25,IF($AS$3&lt;$AS$2,AA24,AA23)))</f>
        <v>58</v>
      </c>
      <c r="P23" s="217">
        <f>IF(最早可退休日期!$D$2&lt;&gt;"職員",AB25,IF(AND($AS$3&lt;$AS$2,$AS$4&lt;$AS$2),AB25,IF($AS$3&lt;$AS$2,AB24,AB23)))</f>
        <v>55</v>
      </c>
      <c r="Q23" s="217">
        <f>IF(最早可退休日期!$D$2&lt;&gt;"職員",AC25,IF(AND($AS$3&lt;$AS$2,$AS$4&lt;$AS$2),AC25,IF($AS$3&lt;$AS$2,AC24,AC23)))</f>
        <v>118</v>
      </c>
      <c r="R23" s="217" t="e">
        <f>IF(最早可退休日期!$D$2&lt;&gt;"職員",AD25,IF(AND($AS$3&lt;$AS$2,$AS$4&lt;$AS$2),AD25,IF($AS$3&lt;$AS$2,AD24,AD23)))</f>
        <v>#VALUE!</v>
      </c>
      <c r="S23" s="217" t="e">
        <f>IF(最早可退休日期!$D$2&lt;&gt;"職員",AE25,IF(AND($AS$3&lt;$AS$2,$AS$4&lt;$AS$2),AE25,IF($AS$3&lt;$AS$2,AE24,AE23)))</f>
        <v>#VALUE!</v>
      </c>
      <c r="T23" s="218" t="str">
        <f>IF(最早可退休日期!$D$2&lt;&gt;"職員",AF25,IF(AND($AS$3&lt;$AS$2,$AS$4&lt;$AS$2),AF25,IF($AS$3&lt;$AS$2,AF24,AF23)))</f>
        <v>118年2月1日</v>
      </c>
      <c r="U23" s="219" t="e">
        <f>IF(最早可退休日期!$D$2&lt;&gt;"職員",AG25,IF(AND($AS$3&lt;$AS$2,$AS$4&lt;$AS$2),AG25,IF($AS$3&lt;$AS$2,AG24,AG23)))</f>
        <v>#VALUE!</v>
      </c>
      <c r="V23" s="219" t="e">
        <f>IF(最早可退休日期!$D$2&lt;&gt;"職員",AH25,IF(AND($AS$3&lt;$AS$2,$AS$4&lt;$AS$2),AH25,IF($AS$3&lt;$AS$2,AH24,AH23)))</f>
        <v>#VALUE!</v>
      </c>
      <c r="W23" s="206" t="e">
        <f>IF(最早可退休日期!$D$2&lt;&gt;"職員",AI25,IF(AND($AS$3&lt;$AS$2,$AS$4&lt;$AS$2),AI25,IF($AS$3&lt;$AS$2,AI24,AI23)))</f>
        <v>#VALUE!</v>
      </c>
      <c r="X23" s="207" t="e">
        <f>IF(最早可退休日期!$D$2&lt;&gt;"職員",AJ25,IF(AND($AS$3&lt;$AS$2,$AS$4&lt;$AS$2),AJ25,IF($AS$3&lt;$AS$2,AJ24,AJ23)))</f>
        <v>#VALUE!</v>
      </c>
      <c r="Y23" s="217">
        <f t="shared" si="0"/>
        <v>117</v>
      </c>
      <c r="Z23" s="217">
        <f t="shared" si="31"/>
        <v>86</v>
      </c>
      <c r="AA23" s="217">
        <f>IF(最早退休日期!$B$1="中等以下教師",58,IF(Y23&gt;=122,65,IF(Y23&lt;107,50,VLOOKUP(Y23,Legal_Year,3,0))))</f>
        <v>58</v>
      </c>
      <c r="AB23" s="217">
        <f t="shared" si="28"/>
        <v>55</v>
      </c>
      <c r="AC23" s="217">
        <f t="shared" si="2"/>
        <v>117</v>
      </c>
      <c r="AD23" s="217" t="e">
        <f t="shared" si="3"/>
        <v>#VALUE!</v>
      </c>
      <c r="AE23" s="217" t="e">
        <f t="shared" si="29"/>
        <v>#VALUE!</v>
      </c>
      <c r="AF23" s="227" t="str">
        <f t="shared" si="5"/>
        <v>117年2月1日</v>
      </c>
      <c r="AG23" s="219" t="e">
        <f t="shared" si="6"/>
        <v>#VALUE!</v>
      </c>
      <c r="AH23" s="219" t="e">
        <f t="shared" si="7"/>
        <v>#VALUE!</v>
      </c>
      <c r="AI23" s="206" t="e">
        <f t="shared" si="8"/>
        <v>#VALUE!</v>
      </c>
      <c r="AJ23" s="207" t="e">
        <f t="shared" si="9"/>
        <v>#VALUE!</v>
      </c>
      <c r="AK23" s="217">
        <f t="shared" si="48"/>
        <v>117</v>
      </c>
      <c r="AL23" s="217" t="e">
        <f t="shared" si="10"/>
        <v>#VALUE!</v>
      </c>
      <c r="AM23" s="220" t="e">
        <f t="shared" si="11"/>
        <v>#VALUE!</v>
      </c>
      <c r="AN23" s="220" t="e">
        <f t="shared" si="12"/>
        <v>#VALUE!</v>
      </c>
      <c r="AO23" s="220" t="e">
        <f t="shared" si="13"/>
        <v>#VALUE!</v>
      </c>
      <c r="AP23" s="221" t="e">
        <f t="shared" si="14"/>
        <v>#VALUE!</v>
      </c>
      <c r="AQ23" s="221" t="e">
        <f t="shared" si="15"/>
        <v>#VALUE!</v>
      </c>
      <c r="AR23" s="222" t="e">
        <f t="shared" si="16"/>
        <v>#VALUE!</v>
      </c>
      <c r="AS23" s="223">
        <f>IF(最早退休日期!$B$2="職員",MIN(IF(ISERROR(DATEVALUE(CONCATENATE(AK23+1911,"/",$AA$1000,"/",$AB$1000))),DATEVALUE(CONCATENATE(AK23+1911,"/",3,"/",1)),DATEVALUE(CONCATENATE(AK23+1911,"/",$AA$1000,"/",$AB$1000))),AR23),DATEVALUE(CONCATENATE(AK23+1911,"/2/1")))</f>
        <v>46784</v>
      </c>
      <c r="AT23" s="224" t="e">
        <f t="shared" si="17"/>
        <v>#VALUE!</v>
      </c>
      <c r="AU23" s="224" t="e">
        <f t="shared" si="18"/>
        <v>#VALUE!</v>
      </c>
      <c r="AV23" s="224" t="e">
        <f t="shared" si="32"/>
        <v>#VALUE!</v>
      </c>
      <c r="AW23" s="224" t="e">
        <f t="shared" si="19"/>
        <v>#VALUE!</v>
      </c>
      <c r="AX23" s="224" t="b">
        <f t="shared" si="20"/>
        <v>1</v>
      </c>
      <c r="AY23" s="224" t="e">
        <f t="shared" si="21"/>
        <v>#VALUE!</v>
      </c>
      <c r="AZ23" s="224" t="b">
        <f t="shared" si="22"/>
        <v>1</v>
      </c>
      <c r="BA23" s="224" t="e">
        <f t="shared" si="33"/>
        <v>#VALUE!</v>
      </c>
      <c r="BB23" s="224" t="e">
        <f t="shared" si="34"/>
        <v>#VALUE!</v>
      </c>
      <c r="BC23" s="224" t="e">
        <f t="shared" si="35"/>
        <v>#VALUE!</v>
      </c>
      <c r="BD23" s="225" t="e">
        <f t="shared" si="23"/>
        <v>#VALUE!</v>
      </c>
      <c r="BE23" s="225" t="e">
        <f t="shared" si="24"/>
        <v>#VALUE!</v>
      </c>
      <c r="BF23" s="225" t="e">
        <f t="shared" si="25"/>
        <v>#VALUE!</v>
      </c>
      <c r="BG23" s="226" t="e">
        <f t="shared" si="26"/>
        <v>#VALUE!</v>
      </c>
      <c r="BH23" s="227" t="e">
        <f t="shared" si="27"/>
        <v>#VALUE!</v>
      </c>
    </row>
    <row r="24" spans="1:60" x14ac:dyDescent="0.25">
      <c r="A24" s="216" t="str">
        <f t="shared" si="36"/>
        <v/>
      </c>
      <c r="B24" s="217" t="str">
        <f t="shared" si="37"/>
        <v/>
      </c>
      <c r="C24" s="217" t="str">
        <f t="shared" si="38"/>
        <v/>
      </c>
      <c r="D24" s="217" t="str">
        <f t="shared" si="39"/>
        <v/>
      </c>
      <c r="E24" s="217" t="str">
        <f t="shared" si="40"/>
        <v/>
      </c>
      <c r="F24" s="217" t="str">
        <f t="shared" si="41"/>
        <v/>
      </c>
      <c r="G24" s="217" t="str">
        <f t="shared" si="42"/>
        <v/>
      </c>
      <c r="H24" s="218" t="str">
        <f t="shared" si="43"/>
        <v/>
      </c>
      <c r="I24" s="219" t="str">
        <f t="shared" si="44"/>
        <v/>
      </c>
      <c r="J24" s="219" t="str">
        <f t="shared" si="45"/>
        <v/>
      </c>
      <c r="K24" s="206" t="str">
        <f t="shared" si="46"/>
        <v/>
      </c>
      <c r="L24" s="272" t="str">
        <f t="shared" si="47"/>
        <v/>
      </c>
      <c r="M24" s="216">
        <f>IF(最早可退休日期!$D$2&lt;&gt;"職員",Y26,IF(AND($AS$3&lt;$AS$2,$AS$4&lt;$AS$2),Y26,IF($AS$3&lt;$AS$2,Y25,Y24)))</f>
        <v>118</v>
      </c>
      <c r="N24" s="217">
        <f>IF(最早可退休日期!$D$2&lt;&gt;"職員",Z26,IF(AND($AS$3&lt;$AS$2,$AS$4&lt;$AS$2),Z26,IF($AS$3&lt;$AS$2,Z25,Z24)))</f>
        <v>87</v>
      </c>
      <c r="O24" s="217">
        <f>IF(最早可退休日期!$D$2&lt;&gt;"職員",AA26,IF(AND($AS$3&lt;$AS$2,$AS$4&lt;$AS$2),AA26,IF($AS$3&lt;$AS$2,AA25,AA24)))</f>
        <v>58</v>
      </c>
      <c r="P24" s="217">
        <f>IF(最早可退休日期!$D$2&lt;&gt;"職員",AB26,IF(AND($AS$3&lt;$AS$2,$AS$4&lt;$AS$2),AB26,IF($AS$3&lt;$AS$2,AB25,AB24)))</f>
        <v>55</v>
      </c>
      <c r="Q24" s="217">
        <f>IF(最早可退休日期!$D$2&lt;&gt;"職員",AC26,IF(AND($AS$3&lt;$AS$2,$AS$4&lt;$AS$2),AC26,IF($AS$3&lt;$AS$2,AC25,AC24)))</f>
        <v>118</v>
      </c>
      <c r="R24" s="217" t="e">
        <f>IF(最早可退休日期!$D$2&lt;&gt;"職員",AD26,IF(AND($AS$3&lt;$AS$2,$AS$4&lt;$AS$2),AD26,IF($AS$3&lt;$AS$2,AD25,AD24)))</f>
        <v>#VALUE!</v>
      </c>
      <c r="S24" s="217" t="e">
        <f>IF(最早可退休日期!$D$2&lt;&gt;"職員",AE26,IF(AND($AS$3&lt;$AS$2,$AS$4&lt;$AS$2),AE26,IF($AS$3&lt;$AS$2,AE25,AE24)))</f>
        <v>#VALUE!</v>
      </c>
      <c r="T24" s="218" t="str">
        <f>IF(最早可退休日期!$D$2&lt;&gt;"職員",AF26,IF(AND($AS$3&lt;$AS$2,$AS$4&lt;$AS$2),AF26,IF($AS$3&lt;$AS$2,AF25,AF24)))</f>
        <v>118年8月1日</v>
      </c>
      <c r="U24" s="219" t="e">
        <f>IF(最早可退休日期!$D$2&lt;&gt;"職員",AG26,IF(AND($AS$3&lt;$AS$2,$AS$4&lt;$AS$2),AG26,IF($AS$3&lt;$AS$2,AG25,AG24)))</f>
        <v>#VALUE!</v>
      </c>
      <c r="V24" s="219" t="e">
        <f>IF(最早可退休日期!$D$2&lt;&gt;"職員",AH26,IF(AND($AS$3&lt;$AS$2,$AS$4&lt;$AS$2),AH26,IF($AS$3&lt;$AS$2,AH25,AH24)))</f>
        <v>#VALUE!</v>
      </c>
      <c r="W24" s="206" t="e">
        <f>IF(最早可退休日期!$D$2&lt;&gt;"職員",AI26,IF(AND($AS$3&lt;$AS$2,$AS$4&lt;$AS$2),AI26,IF($AS$3&lt;$AS$2,AI25,AI24)))</f>
        <v>#VALUE!</v>
      </c>
      <c r="X24" s="207" t="e">
        <f>IF(最早可退休日期!$D$2&lt;&gt;"職員",AJ26,IF(AND($AS$3&lt;$AS$2,$AS$4&lt;$AS$2),AJ26,IF($AS$3&lt;$AS$2,AJ25,AJ24)))</f>
        <v>#VALUE!</v>
      </c>
      <c r="Y24" s="217">
        <f t="shared" si="0"/>
        <v>117</v>
      </c>
      <c r="Z24" s="217">
        <f t="shared" si="31"/>
        <v>86</v>
      </c>
      <c r="AA24" s="217">
        <f>IF(最早退休日期!$B$1="中等以下教師",58,IF(Y24&gt;=122,65,IF(Y24&lt;107,50,VLOOKUP(Y24,Legal_Year,3,0))))</f>
        <v>58</v>
      </c>
      <c r="AB24" s="217">
        <f t="shared" si="28"/>
        <v>55</v>
      </c>
      <c r="AC24" s="217">
        <f t="shared" si="2"/>
        <v>117</v>
      </c>
      <c r="AD24" s="217" t="e">
        <f t="shared" si="3"/>
        <v>#VALUE!</v>
      </c>
      <c r="AE24" s="217" t="e">
        <f t="shared" si="29"/>
        <v>#VALUE!</v>
      </c>
      <c r="AF24" s="227" t="str">
        <f t="shared" si="5"/>
        <v>117年8月1日</v>
      </c>
      <c r="AG24" s="219" t="e">
        <f t="shared" si="6"/>
        <v>#VALUE!</v>
      </c>
      <c r="AH24" s="219" t="e">
        <f t="shared" si="7"/>
        <v>#VALUE!</v>
      </c>
      <c r="AI24" s="206" t="e">
        <f t="shared" si="8"/>
        <v>#VALUE!</v>
      </c>
      <c r="AJ24" s="207" t="e">
        <f t="shared" si="9"/>
        <v>#VALUE!</v>
      </c>
      <c r="AK24" s="217">
        <f t="shared" si="48"/>
        <v>117</v>
      </c>
      <c r="AL24" s="217" t="e">
        <f t="shared" si="10"/>
        <v>#VALUE!</v>
      </c>
      <c r="AM24" s="220" t="e">
        <f t="shared" si="11"/>
        <v>#VALUE!</v>
      </c>
      <c r="AN24" s="220" t="e">
        <f t="shared" si="12"/>
        <v>#VALUE!</v>
      </c>
      <c r="AO24" s="220" t="e">
        <f t="shared" si="13"/>
        <v>#VALUE!</v>
      </c>
      <c r="AP24" s="221" t="e">
        <f t="shared" si="14"/>
        <v>#VALUE!</v>
      </c>
      <c r="AQ24" s="221" t="e">
        <f t="shared" si="15"/>
        <v>#VALUE!</v>
      </c>
      <c r="AR24" s="222" t="e">
        <f t="shared" si="16"/>
        <v>#VALUE!</v>
      </c>
      <c r="AS24" s="223">
        <f>IF(最早退休日期!$B$2="職員",MAX(IF(ISERROR(DATEVALUE(CONCATENATE(AK24+1911,"/",$AA$1000,"/",$AB$1000))),DATEVALUE(CONCATENATE(AK24+1911,"/",3,"/",1)),DATEVALUE(CONCATENATE(AK24+1911,"/",$AA$1000,"/",$AB$1000))),AR24),DATEVALUE(CONCATENATE(AK24+1911,"/8/1")))</f>
        <v>46966</v>
      </c>
      <c r="AT24" s="224" t="e">
        <f t="shared" si="17"/>
        <v>#VALUE!</v>
      </c>
      <c r="AU24" s="224" t="e">
        <f t="shared" si="18"/>
        <v>#VALUE!</v>
      </c>
      <c r="AV24" s="224" t="e">
        <f t="shared" si="32"/>
        <v>#VALUE!</v>
      </c>
      <c r="AW24" s="224" t="e">
        <f t="shared" si="19"/>
        <v>#VALUE!</v>
      </c>
      <c r="AX24" s="224" t="b">
        <f t="shared" si="20"/>
        <v>1</v>
      </c>
      <c r="AY24" s="224" t="e">
        <f t="shared" si="21"/>
        <v>#VALUE!</v>
      </c>
      <c r="AZ24" s="224" t="b">
        <f t="shared" si="22"/>
        <v>1</v>
      </c>
      <c r="BA24" s="224" t="e">
        <f t="shared" si="33"/>
        <v>#VALUE!</v>
      </c>
      <c r="BB24" s="224" t="e">
        <f t="shared" si="34"/>
        <v>#VALUE!</v>
      </c>
      <c r="BC24" s="224" t="e">
        <f t="shared" si="35"/>
        <v>#VALUE!</v>
      </c>
      <c r="BD24" s="225" t="e">
        <f t="shared" si="23"/>
        <v>#VALUE!</v>
      </c>
      <c r="BE24" s="225" t="e">
        <f t="shared" si="24"/>
        <v>#VALUE!</v>
      </c>
      <c r="BF24" s="225" t="e">
        <f t="shared" si="25"/>
        <v>#VALUE!</v>
      </c>
      <c r="BG24" s="226" t="e">
        <f t="shared" si="26"/>
        <v>#VALUE!</v>
      </c>
      <c r="BH24" s="227" t="e">
        <f t="shared" si="27"/>
        <v>#VALUE!</v>
      </c>
    </row>
    <row r="25" spans="1:60" x14ac:dyDescent="0.25">
      <c r="A25" s="216" t="str">
        <f t="shared" si="36"/>
        <v/>
      </c>
      <c r="B25" s="217" t="str">
        <f t="shared" si="37"/>
        <v/>
      </c>
      <c r="C25" s="217" t="str">
        <f t="shared" si="38"/>
        <v/>
      </c>
      <c r="D25" s="217" t="str">
        <f t="shared" si="39"/>
        <v/>
      </c>
      <c r="E25" s="217" t="str">
        <f t="shared" si="40"/>
        <v/>
      </c>
      <c r="F25" s="217" t="str">
        <f t="shared" si="41"/>
        <v/>
      </c>
      <c r="G25" s="217" t="str">
        <f t="shared" si="42"/>
        <v/>
      </c>
      <c r="H25" s="218" t="str">
        <f t="shared" si="43"/>
        <v/>
      </c>
      <c r="I25" s="219" t="str">
        <f t="shared" si="44"/>
        <v/>
      </c>
      <c r="J25" s="219" t="str">
        <f t="shared" si="45"/>
        <v/>
      </c>
      <c r="K25" s="206" t="str">
        <f t="shared" si="46"/>
        <v/>
      </c>
      <c r="L25" s="272" t="str">
        <f t="shared" si="47"/>
        <v/>
      </c>
      <c r="M25" s="216">
        <f>IF(最早可退休日期!$D$2&lt;&gt;"職員",Y27,IF(AND($AS$3&lt;$AS$2,$AS$4&lt;$AS$2),Y27,IF($AS$3&lt;$AS$2,Y26,Y25)))</f>
        <v>119</v>
      </c>
      <c r="N25" s="217">
        <f>IF(最早可退休日期!$D$2&lt;&gt;"職員",Z27,IF(AND($AS$3&lt;$AS$2,$AS$4&lt;$AS$2),Z27,IF($AS$3&lt;$AS$2,Z26,Z25)))</f>
        <v>88</v>
      </c>
      <c r="O25" s="217">
        <f>IF(最早可退休日期!$D$2&lt;&gt;"職員",AA27,IF(AND($AS$3&lt;$AS$2,$AS$4&lt;$AS$2),AA27,IF($AS$3&lt;$AS$2,AA26,AA25)))</f>
        <v>58</v>
      </c>
      <c r="P25" s="217">
        <f>IF(最早可退休日期!$D$2&lt;&gt;"職員",AB27,IF(AND($AS$3&lt;$AS$2,$AS$4&lt;$AS$2),AB27,IF($AS$3&lt;$AS$2,AB26,AB25)))</f>
        <v>55</v>
      </c>
      <c r="Q25" s="217">
        <f>IF(最早可退休日期!$D$2&lt;&gt;"職員",AC27,IF(AND($AS$3&lt;$AS$2,$AS$4&lt;$AS$2),AC27,IF($AS$3&lt;$AS$2,AC26,AC25)))</f>
        <v>119</v>
      </c>
      <c r="R25" s="217" t="e">
        <f>IF(最早可退休日期!$D$2&lt;&gt;"職員",AD27,IF(AND($AS$3&lt;$AS$2,$AS$4&lt;$AS$2),AD27,IF($AS$3&lt;$AS$2,AD26,AD25)))</f>
        <v>#VALUE!</v>
      </c>
      <c r="S25" s="217" t="e">
        <f>IF(最早可退休日期!$D$2&lt;&gt;"職員",AE27,IF(AND($AS$3&lt;$AS$2,$AS$4&lt;$AS$2),AE27,IF($AS$3&lt;$AS$2,AE26,AE25)))</f>
        <v>#VALUE!</v>
      </c>
      <c r="T25" s="218" t="str">
        <f>IF(最早可退休日期!$D$2&lt;&gt;"職員",AF27,IF(AND($AS$3&lt;$AS$2,$AS$4&lt;$AS$2),AF27,IF($AS$3&lt;$AS$2,AF26,AF25)))</f>
        <v>119年2月1日</v>
      </c>
      <c r="U25" s="219" t="e">
        <f>IF(最早可退休日期!$D$2&lt;&gt;"職員",AG27,IF(AND($AS$3&lt;$AS$2,$AS$4&lt;$AS$2),AG27,IF($AS$3&lt;$AS$2,AG26,AG25)))</f>
        <v>#VALUE!</v>
      </c>
      <c r="V25" s="219" t="e">
        <f>IF(最早可退休日期!$D$2&lt;&gt;"職員",AH27,IF(AND($AS$3&lt;$AS$2,$AS$4&lt;$AS$2),AH27,IF($AS$3&lt;$AS$2,AH26,AH25)))</f>
        <v>#VALUE!</v>
      </c>
      <c r="W25" s="206" t="e">
        <f>IF(最早可退休日期!$D$2&lt;&gt;"職員",AI27,IF(AND($AS$3&lt;$AS$2,$AS$4&lt;$AS$2),AI27,IF($AS$3&lt;$AS$2,AI26,AI25)))</f>
        <v>#VALUE!</v>
      </c>
      <c r="X25" s="207" t="e">
        <f>IF(最早可退休日期!$D$2&lt;&gt;"職員",AJ27,IF(AND($AS$3&lt;$AS$2,$AS$4&lt;$AS$2),AJ27,IF($AS$3&lt;$AS$2,AJ26,AJ25)))</f>
        <v>#VALUE!</v>
      </c>
      <c r="Y25" s="217">
        <f t="shared" si="0"/>
        <v>118</v>
      </c>
      <c r="Z25" s="217">
        <f t="shared" si="31"/>
        <v>87</v>
      </c>
      <c r="AA25" s="217">
        <f>IF(最早退休日期!$B$1="中等以下教師",58,IF(Y25&gt;=122,65,IF(Y25&lt;107,50,VLOOKUP(Y25,Legal_Year,3,0))))</f>
        <v>58</v>
      </c>
      <c r="AB25" s="217">
        <f t="shared" ref="AB25:AB28" si="49">IF(Y25&lt;=115,50,55)</f>
        <v>55</v>
      </c>
      <c r="AC25" s="217">
        <f t="shared" si="2"/>
        <v>118</v>
      </c>
      <c r="AD25" s="217" t="e">
        <f t="shared" si="3"/>
        <v>#VALUE!</v>
      </c>
      <c r="AE25" s="217" t="e">
        <f t="shared" ref="AE25:AE28" si="50">AC25+AD25</f>
        <v>#VALUE!</v>
      </c>
      <c r="AF25" s="227" t="str">
        <f t="shared" si="5"/>
        <v>118年2月1日</v>
      </c>
      <c r="AG25" s="219" t="e">
        <f t="shared" si="6"/>
        <v>#VALUE!</v>
      </c>
      <c r="AH25" s="219" t="e">
        <f t="shared" si="7"/>
        <v>#VALUE!</v>
      </c>
      <c r="AI25" s="206" t="e">
        <f t="shared" si="8"/>
        <v>#VALUE!</v>
      </c>
      <c r="AJ25" s="207" t="e">
        <f t="shared" si="9"/>
        <v>#VALUE!</v>
      </c>
      <c r="AK25" s="217">
        <f t="shared" si="48"/>
        <v>118</v>
      </c>
      <c r="AL25" s="217" t="e">
        <f t="shared" si="10"/>
        <v>#VALUE!</v>
      </c>
      <c r="AM25" s="220" t="e">
        <f t="shared" si="11"/>
        <v>#VALUE!</v>
      </c>
      <c r="AN25" s="220" t="e">
        <f t="shared" si="12"/>
        <v>#VALUE!</v>
      </c>
      <c r="AO25" s="220" t="e">
        <f t="shared" si="13"/>
        <v>#VALUE!</v>
      </c>
      <c r="AP25" s="221" t="e">
        <f t="shared" si="14"/>
        <v>#VALUE!</v>
      </c>
      <c r="AQ25" s="221" t="e">
        <f t="shared" si="15"/>
        <v>#VALUE!</v>
      </c>
      <c r="AR25" s="222" t="e">
        <f t="shared" si="16"/>
        <v>#VALUE!</v>
      </c>
      <c r="AS25" s="223">
        <f>IF(最早退休日期!$B$2="職員",MIN(IF(ISERROR(DATEVALUE(CONCATENATE(AK25+1911,"/",$AA$1000,"/",$AB$1000))),DATEVALUE(CONCATENATE(AK25+1911,"/",3,"/",1)),DATEVALUE(CONCATENATE(AK25+1911,"/",$AA$1000,"/",$AB$1000))),AR25),DATEVALUE(CONCATENATE(AK25+1911,"/2/1")))</f>
        <v>47150</v>
      </c>
      <c r="AT25" s="224" t="e">
        <f t="shared" si="17"/>
        <v>#VALUE!</v>
      </c>
      <c r="AU25" s="224" t="e">
        <f t="shared" si="18"/>
        <v>#VALUE!</v>
      </c>
      <c r="AV25" s="224" t="e">
        <f t="shared" ref="AV25:AV28" si="51">OR(AT25,AU25)</f>
        <v>#VALUE!</v>
      </c>
      <c r="AW25" s="224" t="e">
        <f t="shared" si="19"/>
        <v>#VALUE!</v>
      </c>
      <c r="AX25" s="224" t="b">
        <f t="shared" si="20"/>
        <v>1</v>
      </c>
      <c r="AY25" s="224" t="e">
        <f t="shared" si="21"/>
        <v>#VALUE!</v>
      </c>
      <c r="AZ25" s="224" t="b">
        <f t="shared" si="22"/>
        <v>1</v>
      </c>
      <c r="BA25" s="224" t="e">
        <f t="shared" ref="BA25:BA28" si="52">AND(AW25,AX25,AY25)</f>
        <v>#VALUE!</v>
      </c>
      <c r="BB25" s="224" t="e">
        <f t="shared" ref="BB25:BB28" si="53">AND(AY25,AZ25)</f>
        <v>#VALUE!</v>
      </c>
      <c r="BC25" s="224" t="e">
        <f t="shared" ref="BC25:BC28" si="54">OR(BA25,BB25)</f>
        <v>#VALUE!</v>
      </c>
      <c r="BD25" s="225" t="e">
        <f t="shared" si="23"/>
        <v>#VALUE!</v>
      </c>
      <c r="BE25" s="225" t="e">
        <f t="shared" si="24"/>
        <v>#VALUE!</v>
      </c>
      <c r="BF25" s="225" t="e">
        <f t="shared" si="25"/>
        <v>#VALUE!</v>
      </c>
      <c r="BG25" s="226" t="e">
        <f t="shared" si="26"/>
        <v>#VALUE!</v>
      </c>
      <c r="BH25" s="227" t="e">
        <f t="shared" si="27"/>
        <v>#VALUE!</v>
      </c>
    </row>
    <row r="26" spans="1:60" x14ac:dyDescent="0.25">
      <c r="A26" s="216" t="str">
        <f t="shared" si="36"/>
        <v/>
      </c>
      <c r="B26" s="217" t="str">
        <f t="shared" si="37"/>
        <v/>
      </c>
      <c r="C26" s="217" t="str">
        <f t="shared" si="38"/>
        <v/>
      </c>
      <c r="D26" s="217" t="str">
        <f t="shared" si="39"/>
        <v/>
      </c>
      <c r="E26" s="217" t="str">
        <f t="shared" si="40"/>
        <v/>
      </c>
      <c r="F26" s="217" t="str">
        <f t="shared" si="41"/>
        <v/>
      </c>
      <c r="G26" s="217" t="str">
        <f t="shared" si="42"/>
        <v/>
      </c>
      <c r="H26" s="218" t="str">
        <f t="shared" si="43"/>
        <v/>
      </c>
      <c r="I26" s="219" t="str">
        <f t="shared" si="44"/>
        <v/>
      </c>
      <c r="J26" s="219" t="str">
        <f t="shared" si="45"/>
        <v/>
      </c>
      <c r="K26" s="206" t="str">
        <f t="shared" si="46"/>
        <v/>
      </c>
      <c r="L26" s="272" t="str">
        <f t="shared" si="47"/>
        <v/>
      </c>
      <c r="M26" s="216">
        <f>IF(最早可退休日期!$D$2&lt;&gt;"職員",Y28,IF(AND($AS$3&lt;$AS$2,$AS$4&lt;$AS$2),Y28,IF($AS$3&lt;$AS$2,Y27,Y26)))</f>
        <v>119</v>
      </c>
      <c r="N26" s="217">
        <f>IF(最早可退休日期!$D$2&lt;&gt;"職員",Z28,IF(AND($AS$3&lt;$AS$2,$AS$4&lt;$AS$2),Z28,IF($AS$3&lt;$AS$2,Z27,Z26)))</f>
        <v>88</v>
      </c>
      <c r="O26" s="217">
        <f>IF(最早可退休日期!$D$2&lt;&gt;"職員",AA28,IF(AND($AS$3&lt;$AS$2,$AS$4&lt;$AS$2),AA28,IF($AS$3&lt;$AS$2,AA27,AA26)))</f>
        <v>58</v>
      </c>
      <c r="P26" s="217">
        <f>IF(最早可退休日期!$D$2&lt;&gt;"職員",AB28,IF(AND($AS$3&lt;$AS$2,$AS$4&lt;$AS$2),AB28,IF($AS$3&lt;$AS$2,AB27,AB26)))</f>
        <v>55</v>
      </c>
      <c r="Q26" s="217">
        <f>IF(最早可退休日期!$D$2&lt;&gt;"職員",AC28,IF(AND($AS$3&lt;$AS$2,$AS$4&lt;$AS$2),AC28,IF($AS$3&lt;$AS$2,AC27,AC26)))</f>
        <v>119</v>
      </c>
      <c r="R26" s="217" t="e">
        <f>IF(最早可退休日期!$D$2&lt;&gt;"職員",AD28,IF(AND($AS$3&lt;$AS$2,$AS$4&lt;$AS$2),AD28,IF($AS$3&lt;$AS$2,AD27,AD26)))</f>
        <v>#VALUE!</v>
      </c>
      <c r="S26" s="217" t="e">
        <f>IF(最早可退休日期!$D$2&lt;&gt;"職員",AE28,IF(AND($AS$3&lt;$AS$2,$AS$4&lt;$AS$2),AE28,IF($AS$3&lt;$AS$2,AE27,AE26)))</f>
        <v>#VALUE!</v>
      </c>
      <c r="T26" s="218" t="str">
        <f>IF(最早可退休日期!$D$2&lt;&gt;"職員",AF28,IF(AND($AS$3&lt;$AS$2,$AS$4&lt;$AS$2),AF28,IF($AS$3&lt;$AS$2,AF27,AF26)))</f>
        <v>119年8月1日</v>
      </c>
      <c r="U26" s="219" t="e">
        <f>IF(最早可退休日期!$D$2&lt;&gt;"職員",AG28,IF(AND($AS$3&lt;$AS$2,$AS$4&lt;$AS$2),AG28,IF($AS$3&lt;$AS$2,AG27,AG26)))</f>
        <v>#VALUE!</v>
      </c>
      <c r="V26" s="219" t="e">
        <f>IF(最早可退休日期!$D$2&lt;&gt;"職員",AH28,IF(AND($AS$3&lt;$AS$2,$AS$4&lt;$AS$2),AH28,IF($AS$3&lt;$AS$2,AH27,AH26)))</f>
        <v>#VALUE!</v>
      </c>
      <c r="W26" s="206" t="e">
        <f>IF(最早可退休日期!$D$2&lt;&gt;"職員",AI28,IF(AND($AS$3&lt;$AS$2,$AS$4&lt;$AS$2),AI28,IF($AS$3&lt;$AS$2,AI27,AI26)))</f>
        <v>#VALUE!</v>
      </c>
      <c r="X26" s="207" t="e">
        <f>IF(最早可退休日期!$D$2&lt;&gt;"職員",AJ28,IF(AND($AS$3&lt;$AS$2,$AS$4&lt;$AS$2),AJ28,IF($AS$3&lt;$AS$2,AJ27,AJ26)))</f>
        <v>#VALUE!</v>
      </c>
      <c r="Y26" s="217">
        <f t="shared" si="0"/>
        <v>118</v>
      </c>
      <c r="Z26" s="217">
        <f t="shared" si="31"/>
        <v>87</v>
      </c>
      <c r="AA26" s="217">
        <f>IF(最早退休日期!$B$1="中等以下教師",58,IF(Y26&gt;=122,65,IF(Y26&lt;107,50,VLOOKUP(Y26,Legal_Year,3,0))))</f>
        <v>58</v>
      </c>
      <c r="AB26" s="217">
        <f t="shared" si="49"/>
        <v>55</v>
      </c>
      <c r="AC26" s="217">
        <f t="shared" si="2"/>
        <v>118</v>
      </c>
      <c r="AD26" s="217" t="e">
        <f t="shared" si="3"/>
        <v>#VALUE!</v>
      </c>
      <c r="AE26" s="217" t="e">
        <f t="shared" si="50"/>
        <v>#VALUE!</v>
      </c>
      <c r="AF26" s="227" t="str">
        <f t="shared" si="5"/>
        <v>118年8月1日</v>
      </c>
      <c r="AG26" s="219" t="e">
        <f t="shared" si="6"/>
        <v>#VALUE!</v>
      </c>
      <c r="AH26" s="219" t="e">
        <f t="shared" si="7"/>
        <v>#VALUE!</v>
      </c>
      <c r="AI26" s="206" t="e">
        <f t="shared" si="8"/>
        <v>#VALUE!</v>
      </c>
      <c r="AJ26" s="207" t="e">
        <f t="shared" si="9"/>
        <v>#VALUE!</v>
      </c>
      <c r="AK26" s="217">
        <f t="shared" si="48"/>
        <v>118</v>
      </c>
      <c r="AL26" s="217" t="e">
        <f t="shared" si="10"/>
        <v>#VALUE!</v>
      </c>
      <c r="AM26" s="220" t="e">
        <f t="shared" si="11"/>
        <v>#VALUE!</v>
      </c>
      <c r="AN26" s="220" t="e">
        <f t="shared" si="12"/>
        <v>#VALUE!</v>
      </c>
      <c r="AO26" s="220" t="e">
        <f t="shared" si="13"/>
        <v>#VALUE!</v>
      </c>
      <c r="AP26" s="221" t="e">
        <f t="shared" si="14"/>
        <v>#VALUE!</v>
      </c>
      <c r="AQ26" s="221" t="e">
        <f t="shared" si="15"/>
        <v>#VALUE!</v>
      </c>
      <c r="AR26" s="222" t="e">
        <f t="shared" si="16"/>
        <v>#VALUE!</v>
      </c>
      <c r="AS26" s="223">
        <f>IF(最早退休日期!$B$2="職員",MAX(IF(ISERROR(DATEVALUE(CONCATENATE(AK26+1911,"/",$AA$1000,"/",$AB$1000))),DATEVALUE(CONCATENATE(AK26+1911,"/",3,"/",1)),DATEVALUE(CONCATENATE(AK26+1911,"/",$AA$1000,"/",$AB$1000))),AR26),DATEVALUE(CONCATENATE(AK26+1911,"/8/1")))</f>
        <v>47331</v>
      </c>
      <c r="AT26" s="224" t="e">
        <f t="shared" si="17"/>
        <v>#VALUE!</v>
      </c>
      <c r="AU26" s="224" t="e">
        <f t="shared" si="18"/>
        <v>#VALUE!</v>
      </c>
      <c r="AV26" s="224" t="e">
        <f t="shared" si="51"/>
        <v>#VALUE!</v>
      </c>
      <c r="AW26" s="224" t="e">
        <f t="shared" si="19"/>
        <v>#VALUE!</v>
      </c>
      <c r="AX26" s="224" t="b">
        <f t="shared" si="20"/>
        <v>1</v>
      </c>
      <c r="AY26" s="224" t="e">
        <f t="shared" si="21"/>
        <v>#VALUE!</v>
      </c>
      <c r="AZ26" s="224" t="b">
        <f t="shared" si="22"/>
        <v>1</v>
      </c>
      <c r="BA26" s="224" t="e">
        <f t="shared" si="52"/>
        <v>#VALUE!</v>
      </c>
      <c r="BB26" s="224" t="e">
        <f t="shared" si="53"/>
        <v>#VALUE!</v>
      </c>
      <c r="BC26" s="224" t="e">
        <f t="shared" si="54"/>
        <v>#VALUE!</v>
      </c>
      <c r="BD26" s="225" t="e">
        <f t="shared" si="23"/>
        <v>#VALUE!</v>
      </c>
      <c r="BE26" s="225" t="e">
        <f t="shared" si="24"/>
        <v>#VALUE!</v>
      </c>
      <c r="BF26" s="225" t="e">
        <f t="shared" si="25"/>
        <v>#VALUE!</v>
      </c>
      <c r="BG26" s="226" t="e">
        <f t="shared" si="26"/>
        <v>#VALUE!</v>
      </c>
      <c r="BH26" s="227" t="e">
        <f t="shared" si="27"/>
        <v>#VALUE!</v>
      </c>
    </row>
    <row r="27" spans="1:60" x14ac:dyDescent="0.25">
      <c r="A27" s="216" t="str">
        <f t="shared" si="36"/>
        <v/>
      </c>
      <c r="B27" s="217" t="str">
        <f t="shared" si="37"/>
        <v/>
      </c>
      <c r="C27" s="217" t="str">
        <f t="shared" si="38"/>
        <v/>
      </c>
      <c r="D27" s="217" t="str">
        <f t="shared" si="39"/>
        <v/>
      </c>
      <c r="E27" s="217" t="str">
        <f t="shared" si="40"/>
        <v/>
      </c>
      <c r="F27" s="217" t="str">
        <f t="shared" si="41"/>
        <v/>
      </c>
      <c r="G27" s="217" t="str">
        <f t="shared" si="42"/>
        <v/>
      </c>
      <c r="H27" s="218" t="str">
        <f t="shared" si="43"/>
        <v/>
      </c>
      <c r="I27" s="219" t="str">
        <f t="shared" si="44"/>
        <v/>
      </c>
      <c r="J27" s="219" t="str">
        <f t="shared" si="45"/>
        <v/>
      </c>
      <c r="K27" s="206" t="str">
        <f t="shared" si="46"/>
        <v/>
      </c>
      <c r="L27" s="272" t="str">
        <f t="shared" si="47"/>
        <v/>
      </c>
      <c r="M27" s="216">
        <f>IF(最早可退休日期!$D$2&lt;&gt;"職員",Y29,IF(AND($AS$3&lt;$AS$2,$AS$4&lt;$AS$2),Y29,IF($AS$3&lt;$AS$2,Y28,Y27)))</f>
        <v>120</v>
      </c>
      <c r="N27" s="217">
        <f>IF(最早可退休日期!$D$2&lt;&gt;"職員",Z29,IF(AND($AS$3&lt;$AS$2,$AS$4&lt;$AS$2),Z29,IF($AS$3&lt;$AS$2,Z28,Z27)))</f>
        <v>89</v>
      </c>
      <c r="O27" s="217">
        <f>IF(最早可退休日期!$D$2&lt;&gt;"職員",AA29,IF(AND($AS$3&lt;$AS$2,$AS$4&lt;$AS$2),AA29,IF($AS$3&lt;$AS$2,AA28,AA27)))</f>
        <v>58</v>
      </c>
      <c r="P27" s="217">
        <f>IF(最早可退休日期!$D$2&lt;&gt;"職員",AB29,IF(AND($AS$3&lt;$AS$2,$AS$4&lt;$AS$2),AB29,IF($AS$3&lt;$AS$2,AB28,AB27)))</f>
        <v>55</v>
      </c>
      <c r="Q27" s="217">
        <f>IF(最早可退休日期!$D$2&lt;&gt;"職員",AC29,IF(AND($AS$3&lt;$AS$2,$AS$4&lt;$AS$2),AC29,IF($AS$3&lt;$AS$2,AC28,AC27)))</f>
        <v>120</v>
      </c>
      <c r="R27" s="217" t="e">
        <f>IF(最早可退休日期!$D$2&lt;&gt;"職員",AD29,IF(AND($AS$3&lt;$AS$2,$AS$4&lt;$AS$2),AD29,IF($AS$3&lt;$AS$2,AD28,AD27)))</f>
        <v>#VALUE!</v>
      </c>
      <c r="S27" s="217" t="e">
        <f>IF(最早可退休日期!$D$2&lt;&gt;"職員",AE29,IF(AND($AS$3&lt;$AS$2,$AS$4&lt;$AS$2),AE29,IF($AS$3&lt;$AS$2,AE28,AE27)))</f>
        <v>#VALUE!</v>
      </c>
      <c r="T27" s="218" t="str">
        <f>IF(最早可退休日期!$D$2&lt;&gt;"職員",AF29,IF(AND($AS$3&lt;$AS$2,$AS$4&lt;$AS$2),AF29,IF($AS$3&lt;$AS$2,AF28,AF27)))</f>
        <v>120年2月1日</v>
      </c>
      <c r="U27" s="219" t="e">
        <f>IF(最早可退休日期!$D$2&lt;&gt;"職員",AG29,IF(AND($AS$3&lt;$AS$2,$AS$4&lt;$AS$2),AG29,IF($AS$3&lt;$AS$2,AG28,AG27)))</f>
        <v>#VALUE!</v>
      </c>
      <c r="V27" s="219" t="e">
        <f>IF(最早可退休日期!$D$2&lt;&gt;"職員",AH29,IF(AND($AS$3&lt;$AS$2,$AS$4&lt;$AS$2),AH29,IF($AS$3&lt;$AS$2,AH28,AH27)))</f>
        <v>#VALUE!</v>
      </c>
      <c r="W27" s="206" t="e">
        <f>IF(最早可退休日期!$D$2&lt;&gt;"職員",AI29,IF(AND($AS$3&lt;$AS$2,$AS$4&lt;$AS$2),AI29,IF($AS$3&lt;$AS$2,AI28,AI27)))</f>
        <v>#VALUE!</v>
      </c>
      <c r="X27" s="207" t="e">
        <f>IF(最早可退休日期!$D$2&lt;&gt;"職員",AJ29,IF(AND($AS$3&lt;$AS$2,$AS$4&lt;$AS$2),AJ29,IF($AS$3&lt;$AS$2,AJ28,AJ27)))</f>
        <v>#VALUE!</v>
      </c>
      <c r="Y27" s="217">
        <f t="shared" si="0"/>
        <v>119</v>
      </c>
      <c r="Z27" s="217">
        <f t="shared" si="31"/>
        <v>88</v>
      </c>
      <c r="AA27" s="217">
        <f>IF(最早退休日期!$B$1="中等以下教師",58,IF(Y27&gt;=122,65,IF(Y27&lt;107,50,VLOOKUP(Y27,Legal_Year,3,0))))</f>
        <v>58</v>
      </c>
      <c r="AB27" s="217">
        <f t="shared" si="49"/>
        <v>55</v>
      </c>
      <c r="AC27" s="217">
        <f t="shared" si="2"/>
        <v>119</v>
      </c>
      <c r="AD27" s="217" t="e">
        <f t="shared" si="3"/>
        <v>#VALUE!</v>
      </c>
      <c r="AE27" s="217" t="e">
        <f t="shared" si="50"/>
        <v>#VALUE!</v>
      </c>
      <c r="AF27" s="227" t="str">
        <f t="shared" si="5"/>
        <v>119年2月1日</v>
      </c>
      <c r="AG27" s="219" t="e">
        <f t="shared" si="6"/>
        <v>#VALUE!</v>
      </c>
      <c r="AH27" s="219" t="e">
        <f t="shared" si="7"/>
        <v>#VALUE!</v>
      </c>
      <c r="AI27" s="206" t="e">
        <f t="shared" si="8"/>
        <v>#VALUE!</v>
      </c>
      <c r="AJ27" s="207" t="e">
        <f t="shared" si="9"/>
        <v>#VALUE!</v>
      </c>
      <c r="AK27" s="217">
        <f t="shared" si="48"/>
        <v>119</v>
      </c>
      <c r="AL27" s="217" t="e">
        <f t="shared" si="10"/>
        <v>#VALUE!</v>
      </c>
      <c r="AM27" s="220" t="e">
        <f t="shared" si="11"/>
        <v>#VALUE!</v>
      </c>
      <c r="AN27" s="220" t="e">
        <f t="shared" si="12"/>
        <v>#VALUE!</v>
      </c>
      <c r="AO27" s="220" t="e">
        <f t="shared" si="13"/>
        <v>#VALUE!</v>
      </c>
      <c r="AP27" s="221" t="e">
        <f t="shared" si="14"/>
        <v>#VALUE!</v>
      </c>
      <c r="AQ27" s="221" t="e">
        <f t="shared" si="15"/>
        <v>#VALUE!</v>
      </c>
      <c r="AR27" s="222" t="e">
        <f t="shared" si="16"/>
        <v>#VALUE!</v>
      </c>
      <c r="AS27" s="223">
        <f>IF(最早退休日期!$B$2="職員",MIN(IF(ISERROR(DATEVALUE(CONCATENATE(AK27+1911,"/",$AA$1000,"/",$AB$1000))),DATEVALUE(CONCATENATE(AK27+1911,"/",3,"/",1)),DATEVALUE(CONCATENATE(AK27+1911,"/",$AA$1000,"/",$AB$1000))),AR27),DATEVALUE(CONCATENATE(AK27+1911,"/2/1")))</f>
        <v>47515</v>
      </c>
      <c r="AT27" s="224" t="e">
        <f t="shared" si="17"/>
        <v>#VALUE!</v>
      </c>
      <c r="AU27" s="224" t="e">
        <f t="shared" si="18"/>
        <v>#VALUE!</v>
      </c>
      <c r="AV27" s="224" t="e">
        <f t="shared" si="51"/>
        <v>#VALUE!</v>
      </c>
      <c r="AW27" s="224" t="e">
        <f t="shared" si="19"/>
        <v>#VALUE!</v>
      </c>
      <c r="AX27" s="224" t="b">
        <f t="shared" si="20"/>
        <v>1</v>
      </c>
      <c r="AY27" s="224" t="e">
        <f t="shared" si="21"/>
        <v>#VALUE!</v>
      </c>
      <c r="AZ27" s="224" t="b">
        <f t="shared" si="22"/>
        <v>1</v>
      </c>
      <c r="BA27" s="224" t="e">
        <f t="shared" si="52"/>
        <v>#VALUE!</v>
      </c>
      <c r="BB27" s="224" t="e">
        <f t="shared" si="53"/>
        <v>#VALUE!</v>
      </c>
      <c r="BC27" s="224" t="e">
        <f t="shared" si="54"/>
        <v>#VALUE!</v>
      </c>
      <c r="BD27" s="225" t="e">
        <f t="shared" si="23"/>
        <v>#VALUE!</v>
      </c>
      <c r="BE27" s="225" t="e">
        <f t="shared" si="24"/>
        <v>#VALUE!</v>
      </c>
      <c r="BF27" s="225" t="e">
        <f t="shared" si="25"/>
        <v>#VALUE!</v>
      </c>
      <c r="BG27" s="226" t="e">
        <f t="shared" si="26"/>
        <v>#VALUE!</v>
      </c>
      <c r="BH27" s="227" t="e">
        <f t="shared" si="27"/>
        <v>#VALUE!</v>
      </c>
    </row>
    <row r="28" spans="1:60" x14ac:dyDescent="0.25">
      <c r="A28" s="216" t="str">
        <f t="shared" si="36"/>
        <v/>
      </c>
      <c r="B28" s="217" t="str">
        <f t="shared" si="37"/>
        <v/>
      </c>
      <c r="C28" s="217" t="str">
        <f t="shared" si="38"/>
        <v/>
      </c>
      <c r="D28" s="217" t="str">
        <f t="shared" si="39"/>
        <v/>
      </c>
      <c r="E28" s="217" t="str">
        <f t="shared" si="40"/>
        <v/>
      </c>
      <c r="F28" s="217" t="str">
        <f t="shared" si="41"/>
        <v/>
      </c>
      <c r="G28" s="217" t="str">
        <f t="shared" si="42"/>
        <v/>
      </c>
      <c r="H28" s="218" t="str">
        <f t="shared" si="43"/>
        <v/>
      </c>
      <c r="I28" s="219" t="str">
        <f t="shared" si="44"/>
        <v/>
      </c>
      <c r="J28" s="219" t="str">
        <f t="shared" si="45"/>
        <v/>
      </c>
      <c r="K28" s="206" t="str">
        <f t="shared" si="46"/>
        <v/>
      </c>
      <c r="L28" s="272" t="str">
        <f t="shared" si="47"/>
        <v/>
      </c>
      <c r="M28" s="216">
        <f>IF(最早可退休日期!$D$2&lt;&gt;"職員",Y30,IF(AND($AS$3&lt;$AS$2,$AS$4&lt;$AS$2),Y30,IF($AS$3&lt;$AS$2,Y29,Y28)))</f>
        <v>120</v>
      </c>
      <c r="N28" s="217">
        <f>IF(最早可退休日期!$D$2&lt;&gt;"職員",Z30,IF(AND($AS$3&lt;$AS$2,$AS$4&lt;$AS$2),Z30,IF($AS$3&lt;$AS$2,Z29,Z28)))</f>
        <v>89</v>
      </c>
      <c r="O28" s="217">
        <f>IF(最早可退休日期!$D$2&lt;&gt;"職員",AA30,IF(AND($AS$3&lt;$AS$2,$AS$4&lt;$AS$2),AA30,IF($AS$3&lt;$AS$2,AA29,AA28)))</f>
        <v>58</v>
      </c>
      <c r="P28" s="217">
        <f>IF(最早可退休日期!$D$2&lt;&gt;"職員",AB30,IF(AND($AS$3&lt;$AS$2,$AS$4&lt;$AS$2),AB30,IF($AS$3&lt;$AS$2,AB29,AB28)))</f>
        <v>55</v>
      </c>
      <c r="Q28" s="217">
        <f>IF(最早可退休日期!$D$2&lt;&gt;"職員",AC30,IF(AND($AS$3&lt;$AS$2,$AS$4&lt;$AS$2),AC30,IF($AS$3&lt;$AS$2,AC29,AC28)))</f>
        <v>120</v>
      </c>
      <c r="R28" s="217" t="e">
        <f>IF(最早可退休日期!$D$2&lt;&gt;"職員",AD30,IF(AND($AS$3&lt;$AS$2,$AS$4&lt;$AS$2),AD30,IF($AS$3&lt;$AS$2,AD29,AD28)))</f>
        <v>#VALUE!</v>
      </c>
      <c r="S28" s="217" t="e">
        <f>IF(最早可退休日期!$D$2&lt;&gt;"職員",AE30,IF(AND($AS$3&lt;$AS$2,$AS$4&lt;$AS$2),AE30,IF($AS$3&lt;$AS$2,AE29,AE28)))</f>
        <v>#VALUE!</v>
      </c>
      <c r="T28" s="218" t="str">
        <f>IF(最早可退休日期!$D$2&lt;&gt;"職員",AF30,IF(AND($AS$3&lt;$AS$2,$AS$4&lt;$AS$2),AF30,IF($AS$3&lt;$AS$2,AF29,AF28)))</f>
        <v>120年8月1日</v>
      </c>
      <c r="U28" s="219" t="e">
        <f>IF(最早可退休日期!$D$2&lt;&gt;"職員",AG30,IF(AND($AS$3&lt;$AS$2,$AS$4&lt;$AS$2),AG30,IF($AS$3&lt;$AS$2,AG29,AG28)))</f>
        <v>#VALUE!</v>
      </c>
      <c r="V28" s="219" t="e">
        <f>IF(最早可退休日期!$D$2&lt;&gt;"職員",AH30,IF(AND($AS$3&lt;$AS$2,$AS$4&lt;$AS$2),AH30,IF($AS$3&lt;$AS$2,AH29,AH28)))</f>
        <v>#VALUE!</v>
      </c>
      <c r="W28" s="206" t="e">
        <f>IF(最早可退休日期!$D$2&lt;&gt;"職員",AI30,IF(AND($AS$3&lt;$AS$2,$AS$4&lt;$AS$2),AI30,IF($AS$3&lt;$AS$2,AI29,AI28)))</f>
        <v>#VALUE!</v>
      </c>
      <c r="X28" s="207" t="e">
        <f>IF(最早可退休日期!$D$2&lt;&gt;"職員",AJ30,IF(AND($AS$3&lt;$AS$2,$AS$4&lt;$AS$2),AJ30,IF($AS$3&lt;$AS$2,AJ29,AJ28)))</f>
        <v>#VALUE!</v>
      </c>
      <c r="Y28" s="217">
        <f t="shared" si="0"/>
        <v>119</v>
      </c>
      <c r="Z28" s="217">
        <f t="shared" si="31"/>
        <v>88</v>
      </c>
      <c r="AA28" s="217">
        <f>IF(最早退休日期!$B$1="中等以下教師",58,IF(Y28&gt;=122,65,IF(Y28&lt;107,50,VLOOKUP(Y28,Legal_Year,3,0))))</f>
        <v>58</v>
      </c>
      <c r="AB28" s="217">
        <f t="shared" si="49"/>
        <v>55</v>
      </c>
      <c r="AC28" s="217">
        <f t="shared" si="2"/>
        <v>119</v>
      </c>
      <c r="AD28" s="217" t="e">
        <f t="shared" si="3"/>
        <v>#VALUE!</v>
      </c>
      <c r="AE28" s="217" t="e">
        <f t="shared" si="50"/>
        <v>#VALUE!</v>
      </c>
      <c r="AF28" s="227" t="str">
        <f t="shared" si="5"/>
        <v>119年8月1日</v>
      </c>
      <c r="AG28" s="219" t="e">
        <f t="shared" si="6"/>
        <v>#VALUE!</v>
      </c>
      <c r="AH28" s="219" t="e">
        <f t="shared" si="7"/>
        <v>#VALUE!</v>
      </c>
      <c r="AI28" s="206" t="e">
        <f t="shared" si="8"/>
        <v>#VALUE!</v>
      </c>
      <c r="AJ28" s="207" t="e">
        <f t="shared" si="9"/>
        <v>#VALUE!</v>
      </c>
      <c r="AK28" s="217">
        <f t="shared" si="48"/>
        <v>119</v>
      </c>
      <c r="AL28" s="217" t="e">
        <f t="shared" si="10"/>
        <v>#VALUE!</v>
      </c>
      <c r="AM28" s="220" t="e">
        <f t="shared" si="11"/>
        <v>#VALUE!</v>
      </c>
      <c r="AN28" s="220" t="e">
        <f t="shared" si="12"/>
        <v>#VALUE!</v>
      </c>
      <c r="AO28" s="220" t="e">
        <f t="shared" si="13"/>
        <v>#VALUE!</v>
      </c>
      <c r="AP28" s="221" t="e">
        <f t="shared" si="14"/>
        <v>#VALUE!</v>
      </c>
      <c r="AQ28" s="221" t="e">
        <f t="shared" si="15"/>
        <v>#VALUE!</v>
      </c>
      <c r="AR28" s="222" t="e">
        <f t="shared" si="16"/>
        <v>#VALUE!</v>
      </c>
      <c r="AS28" s="223">
        <f>IF(最早退休日期!$B$2="職員",MAX(IF(ISERROR(DATEVALUE(CONCATENATE(AK28+1911,"/",$AA$1000,"/",$AB$1000))),DATEVALUE(CONCATENATE(AK28+1911,"/",3,"/",1)),DATEVALUE(CONCATENATE(AK28+1911,"/",$AA$1000,"/",$AB$1000))),AR28),DATEVALUE(CONCATENATE(AK28+1911,"/8/1")))</f>
        <v>47696</v>
      </c>
      <c r="AT28" s="224" t="e">
        <f t="shared" si="17"/>
        <v>#VALUE!</v>
      </c>
      <c r="AU28" s="224" t="e">
        <f t="shared" si="18"/>
        <v>#VALUE!</v>
      </c>
      <c r="AV28" s="224" t="e">
        <f t="shared" si="51"/>
        <v>#VALUE!</v>
      </c>
      <c r="AW28" s="224" t="e">
        <f t="shared" si="19"/>
        <v>#VALUE!</v>
      </c>
      <c r="AX28" s="224" t="b">
        <f t="shared" si="20"/>
        <v>1</v>
      </c>
      <c r="AY28" s="224" t="e">
        <f t="shared" si="21"/>
        <v>#VALUE!</v>
      </c>
      <c r="AZ28" s="224" t="b">
        <f t="shared" si="22"/>
        <v>1</v>
      </c>
      <c r="BA28" s="224" t="e">
        <f t="shared" si="52"/>
        <v>#VALUE!</v>
      </c>
      <c r="BB28" s="224" t="e">
        <f t="shared" si="53"/>
        <v>#VALUE!</v>
      </c>
      <c r="BC28" s="224" t="e">
        <f t="shared" si="54"/>
        <v>#VALUE!</v>
      </c>
      <c r="BD28" s="225" t="e">
        <f t="shared" si="23"/>
        <v>#VALUE!</v>
      </c>
      <c r="BE28" s="225" t="e">
        <f t="shared" si="24"/>
        <v>#VALUE!</v>
      </c>
      <c r="BF28" s="225" t="e">
        <f t="shared" si="25"/>
        <v>#VALUE!</v>
      </c>
      <c r="BG28" s="226" t="e">
        <f t="shared" si="26"/>
        <v>#VALUE!</v>
      </c>
      <c r="BH28" s="227" t="e">
        <f t="shared" si="27"/>
        <v>#VALUE!</v>
      </c>
    </row>
    <row r="29" spans="1:60" x14ac:dyDescent="0.25">
      <c r="A29" s="216" t="str">
        <f t="shared" si="36"/>
        <v/>
      </c>
      <c r="B29" s="217" t="str">
        <f t="shared" si="37"/>
        <v/>
      </c>
      <c r="C29" s="217" t="str">
        <f t="shared" si="38"/>
        <v/>
      </c>
      <c r="D29" s="217" t="str">
        <f t="shared" si="39"/>
        <v/>
      </c>
      <c r="E29" s="217" t="str">
        <f t="shared" si="40"/>
        <v/>
      </c>
      <c r="F29" s="217" t="str">
        <f t="shared" si="41"/>
        <v/>
      </c>
      <c r="G29" s="217" t="str">
        <f t="shared" si="42"/>
        <v/>
      </c>
      <c r="H29" s="218" t="str">
        <f t="shared" si="43"/>
        <v/>
      </c>
      <c r="I29" s="219" t="str">
        <f t="shared" si="44"/>
        <v/>
      </c>
      <c r="J29" s="219" t="str">
        <f t="shared" si="45"/>
        <v/>
      </c>
      <c r="K29" s="206" t="str">
        <f t="shared" si="46"/>
        <v/>
      </c>
      <c r="L29" s="272" t="str">
        <f t="shared" si="47"/>
        <v/>
      </c>
      <c r="M29" s="216">
        <f>IF(最早可退休日期!$D$2&lt;&gt;"職員",Y31,IF(AND($AS$3&lt;$AS$2,$AS$4&lt;$AS$2),Y31,IF($AS$3&lt;$AS$2,Y30,Y29)))</f>
        <v>121</v>
      </c>
      <c r="N29" s="217">
        <f>IF(最早可退休日期!$D$2&lt;&gt;"職員",Z31,IF(AND($AS$3&lt;$AS$2,$AS$4&lt;$AS$2),Z31,IF($AS$3&lt;$AS$2,Z30,Z29)))</f>
        <v>90</v>
      </c>
      <c r="O29" s="217">
        <f>IF(最早可退休日期!$D$2&lt;&gt;"職員",AA31,IF(AND($AS$3&lt;$AS$2,$AS$4&lt;$AS$2),AA31,IF($AS$3&lt;$AS$2,AA30,AA29)))</f>
        <v>58</v>
      </c>
      <c r="P29" s="217">
        <f>IF(最早可退休日期!$D$2&lt;&gt;"職員",AB31,IF(AND($AS$3&lt;$AS$2,$AS$4&lt;$AS$2),AB31,IF($AS$3&lt;$AS$2,AB30,AB29)))</f>
        <v>55</v>
      </c>
      <c r="Q29" s="217">
        <f>IF(最早可退休日期!$D$2&lt;&gt;"職員",AC31,IF(AND($AS$3&lt;$AS$2,$AS$4&lt;$AS$2),AC31,IF($AS$3&lt;$AS$2,AC30,AC29)))</f>
        <v>121</v>
      </c>
      <c r="R29" s="217" t="e">
        <f>IF(最早可退休日期!$D$2&lt;&gt;"職員",AD31,IF(AND($AS$3&lt;$AS$2,$AS$4&lt;$AS$2),AD31,IF($AS$3&lt;$AS$2,AD30,AD29)))</f>
        <v>#VALUE!</v>
      </c>
      <c r="S29" s="217" t="e">
        <f>IF(最早可退休日期!$D$2&lt;&gt;"職員",AE31,IF(AND($AS$3&lt;$AS$2,$AS$4&lt;$AS$2),AE31,IF($AS$3&lt;$AS$2,AE30,AE29)))</f>
        <v>#VALUE!</v>
      </c>
      <c r="T29" s="218" t="str">
        <f>IF(最早可退休日期!$D$2&lt;&gt;"職員",AF31,IF(AND($AS$3&lt;$AS$2,$AS$4&lt;$AS$2),AF31,IF($AS$3&lt;$AS$2,AF30,AF29)))</f>
        <v>121年2月1日</v>
      </c>
      <c r="U29" s="219" t="e">
        <f>IF(最早可退休日期!$D$2&lt;&gt;"職員",AG31,IF(AND($AS$3&lt;$AS$2,$AS$4&lt;$AS$2),AG31,IF($AS$3&lt;$AS$2,AG30,AG29)))</f>
        <v>#VALUE!</v>
      </c>
      <c r="V29" s="219" t="e">
        <f>IF(最早可退休日期!$D$2&lt;&gt;"職員",AH31,IF(AND($AS$3&lt;$AS$2,$AS$4&lt;$AS$2),AH31,IF($AS$3&lt;$AS$2,AH30,AH29)))</f>
        <v>#VALUE!</v>
      </c>
      <c r="W29" s="206" t="e">
        <f>IF(最早可退休日期!$D$2&lt;&gt;"職員",AI31,IF(AND($AS$3&lt;$AS$2,$AS$4&lt;$AS$2),AI31,IF($AS$3&lt;$AS$2,AI30,AI29)))</f>
        <v>#VALUE!</v>
      </c>
      <c r="X29" s="207" t="e">
        <f>IF(最早可退休日期!$D$2&lt;&gt;"職員",AJ31,IF(AND($AS$3&lt;$AS$2,$AS$4&lt;$AS$2),AJ31,IF($AS$3&lt;$AS$2,AJ30,AJ29)))</f>
        <v>#VALUE!</v>
      </c>
      <c r="Y29" s="217">
        <f t="shared" si="0"/>
        <v>120</v>
      </c>
      <c r="Z29" s="217">
        <f t="shared" si="31"/>
        <v>89</v>
      </c>
      <c r="AA29" s="217">
        <f>IF(最早退休日期!$B$1="中等以下教師",58,IF(Y29&gt;=122,65,IF(Y29&lt;107,50,VLOOKUP(Y29,Legal_Year,3,0))))</f>
        <v>58</v>
      </c>
      <c r="AB29" s="217">
        <f t="shared" ref="AB29:AB40" si="55">IF(Y29&lt;=115,50,55)</f>
        <v>55</v>
      </c>
      <c r="AC29" s="217">
        <f t="shared" si="2"/>
        <v>120</v>
      </c>
      <c r="AD29" s="217" t="e">
        <f t="shared" si="3"/>
        <v>#VALUE!</v>
      </c>
      <c r="AE29" s="217" t="e">
        <f t="shared" ref="AE29:AE40" si="56">AC29+AD29</f>
        <v>#VALUE!</v>
      </c>
      <c r="AF29" s="227" t="str">
        <f t="shared" si="5"/>
        <v>120年2月1日</v>
      </c>
      <c r="AG29" s="219" t="e">
        <f t="shared" si="6"/>
        <v>#VALUE!</v>
      </c>
      <c r="AH29" s="219" t="e">
        <f t="shared" si="7"/>
        <v>#VALUE!</v>
      </c>
      <c r="AI29" s="206" t="e">
        <f t="shared" si="8"/>
        <v>#VALUE!</v>
      </c>
      <c r="AJ29" s="207" t="e">
        <f t="shared" si="9"/>
        <v>#VALUE!</v>
      </c>
      <c r="AK29" s="217">
        <f t="shared" si="48"/>
        <v>120</v>
      </c>
      <c r="AL29" s="217" t="e">
        <f t="shared" si="10"/>
        <v>#VALUE!</v>
      </c>
      <c r="AM29" s="220" t="e">
        <f t="shared" si="11"/>
        <v>#VALUE!</v>
      </c>
      <c r="AN29" s="220" t="e">
        <f t="shared" si="12"/>
        <v>#VALUE!</v>
      </c>
      <c r="AO29" s="220" t="e">
        <f t="shared" si="13"/>
        <v>#VALUE!</v>
      </c>
      <c r="AP29" s="221" t="e">
        <f t="shared" si="14"/>
        <v>#VALUE!</v>
      </c>
      <c r="AQ29" s="221" t="e">
        <f t="shared" si="15"/>
        <v>#VALUE!</v>
      </c>
      <c r="AR29" s="222" t="e">
        <f t="shared" si="16"/>
        <v>#VALUE!</v>
      </c>
      <c r="AS29" s="223">
        <f>IF(最早退休日期!$B$2="職員",MIN(IF(ISERROR(DATEVALUE(CONCATENATE(AK29+1911,"/",$AA$1000,"/",$AB$1000))),DATEVALUE(CONCATENATE(AK29+1911,"/",3,"/",1)),DATEVALUE(CONCATENATE(AK29+1911,"/",$AA$1000,"/",$AB$1000))),AR29),DATEVALUE(CONCATENATE(AK29+1911,"/2/1")))</f>
        <v>47880</v>
      </c>
      <c r="AT29" s="224" t="e">
        <f t="shared" si="17"/>
        <v>#VALUE!</v>
      </c>
      <c r="AU29" s="224" t="e">
        <f t="shared" si="18"/>
        <v>#VALUE!</v>
      </c>
      <c r="AV29" s="224" t="e">
        <f t="shared" ref="AV29:AV40" si="57">OR(AT29,AU29)</f>
        <v>#VALUE!</v>
      </c>
      <c r="AW29" s="224" t="e">
        <f t="shared" si="19"/>
        <v>#VALUE!</v>
      </c>
      <c r="AX29" s="224" t="b">
        <f t="shared" si="20"/>
        <v>1</v>
      </c>
      <c r="AY29" s="224" t="e">
        <f t="shared" si="21"/>
        <v>#VALUE!</v>
      </c>
      <c r="AZ29" s="224" t="b">
        <f t="shared" si="22"/>
        <v>1</v>
      </c>
      <c r="BA29" s="224" t="e">
        <f t="shared" ref="BA29:BA40" si="58">AND(AW29,AX29,AY29)</f>
        <v>#VALUE!</v>
      </c>
      <c r="BB29" s="224" t="e">
        <f t="shared" ref="BB29:BB40" si="59">AND(AY29,AZ29)</f>
        <v>#VALUE!</v>
      </c>
      <c r="BC29" s="224" t="e">
        <f t="shared" ref="BC29:BC40" si="60">OR(BA29,BB29)</f>
        <v>#VALUE!</v>
      </c>
      <c r="BD29" s="225" t="e">
        <f t="shared" si="23"/>
        <v>#VALUE!</v>
      </c>
      <c r="BE29" s="225" t="e">
        <f t="shared" si="24"/>
        <v>#VALUE!</v>
      </c>
      <c r="BF29" s="225" t="e">
        <f t="shared" si="25"/>
        <v>#VALUE!</v>
      </c>
      <c r="BG29" s="226" t="e">
        <f t="shared" si="26"/>
        <v>#VALUE!</v>
      </c>
      <c r="BH29" s="227" t="e">
        <f t="shared" si="27"/>
        <v>#VALUE!</v>
      </c>
    </row>
    <row r="30" spans="1:60" x14ac:dyDescent="0.25">
      <c r="A30" s="216" t="str">
        <f t="shared" si="36"/>
        <v/>
      </c>
      <c r="B30" s="217" t="str">
        <f t="shared" si="37"/>
        <v/>
      </c>
      <c r="C30" s="217" t="str">
        <f t="shared" si="38"/>
        <v/>
      </c>
      <c r="D30" s="217" t="str">
        <f t="shared" si="39"/>
        <v/>
      </c>
      <c r="E30" s="217" t="str">
        <f t="shared" si="40"/>
        <v/>
      </c>
      <c r="F30" s="217" t="str">
        <f t="shared" si="41"/>
        <v/>
      </c>
      <c r="G30" s="217" t="str">
        <f t="shared" si="42"/>
        <v/>
      </c>
      <c r="H30" s="218" t="str">
        <f t="shared" si="43"/>
        <v/>
      </c>
      <c r="I30" s="219" t="str">
        <f t="shared" si="44"/>
        <v/>
      </c>
      <c r="J30" s="219" t="str">
        <f t="shared" si="45"/>
        <v/>
      </c>
      <c r="K30" s="206" t="str">
        <f t="shared" si="46"/>
        <v/>
      </c>
      <c r="L30" s="272" t="str">
        <f t="shared" si="47"/>
        <v/>
      </c>
      <c r="M30" s="216">
        <f>IF(最早可退休日期!$D$2&lt;&gt;"職員",Y32,IF(AND($AS$3&lt;$AS$2,$AS$4&lt;$AS$2),Y32,IF($AS$3&lt;$AS$2,Y31,Y30)))</f>
        <v>121</v>
      </c>
      <c r="N30" s="217">
        <f>IF(最早可退休日期!$D$2&lt;&gt;"職員",Z32,IF(AND($AS$3&lt;$AS$2,$AS$4&lt;$AS$2),Z32,IF($AS$3&lt;$AS$2,Z31,Z30)))</f>
        <v>90</v>
      </c>
      <c r="O30" s="217">
        <f>IF(最早可退休日期!$D$2&lt;&gt;"職員",AA32,IF(AND($AS$3&lt;$AS$2,$AS$4&lt;$AS$2),AA32,IF($AS$3&lt;$AS$2,AA31,AA30)))</f>
        <v>58</v>
      </c>
      <c r="P30" s="217">
        <f>IF(最早可退休日期!$D$2&lt;&gt;"職員",AB32,IF(AND($AS$3&lt;$AS$2,$AS$4&lt;$AS$2),AB32,IF($AS$3&lt;$AS$2,AB31,AB30)))</f>
        <v>55</v>
      </c>
      <c r="Q30" s="217">
        <f>IF(最早可退休日期!$D$2&lt;&gt;"職員",AC32,IF(AND($AS$3&lt;$AS$2,$AS$4&lt;$AS$2),AC32,IF($AS$3&lt;$AS$2,AC31,AC30)))</f>
        <v>121</v>
      </c>
      <c r="R30" s="217" t="e">
        <f>IF(最早可退休日期!$D$2&lt;&gt;"職員",AD32,IF(AND($AS$3&lt;$AS$2,$AS$4&lt;$AS$2),AD32,IF($AS$3&lt;$AS$2,AD31,AD30)))</f>
        <v>#VALUE!</v>
      </c>
      <c r="S30" s="217" t="e">
        <f>IF(最早可退休日期!$D$2&lt;&gt;"職員",AE32,IF(AND($AS$3&lt;$AS$2,$AS$4&lt;$AS$2),AE32,IF($AS$3&lt;$AS$2,AE31,AE30)))</f>
        <v>#VALUE!</v>
      </c>
      <c r="T30" s="218" t="str">
        <f>IF(最早可退休日期!$D$2&lt;&gt;"職員",AF32,IF(AND($AS$3&lt;$AS$2,$AS$4&lt;$AS$2),AF32,IF($AS$3&lt;$AS$2,AF31,AF30)))</f>
        <v>121年8月1日</v>
      </c>
      <c r="U30" s="219" t="e">
        <f>IF(最早可退休日期!$D$2&lt;&gt;"職員",AG32,IF(AND($AS$3&lt;$AS$2,$AS$4&lt;$AS$2),AG32,IF($AS$3&lt;$AS$2,AG31,AG30)))</f>
        <v>#VALUE!</v>
      </c>
      <c r="V30" s="219" t="e">
        <f>IF(最早可退休日期!$D$2&lt;&gt;"職員",AH32,IF(AND($AS$3&lt;$AS$2,$AS$4&lt;$AS$2),AH32,IF($AS$3&lt;$AS$2,AH31,AH30)))</f>
        <v>#VALUE!</v>
      </c>
      <c r="W30" s="206" t="e">
        <f>IF(最早可退休日期!$D$2&lt;&gt;"職員",AI32,IF(AND($AS$3&lt;$AS$2,$AS$4&lt;$AS$2),AI32,IF($AS$3&lt;$AS$2,AI31,AI30)))</f>
        <v>#VALUE!</v>
      </c>
      <c r="X30" s="207" t="e">
        <f>IF(最早可退休日期!$D$2&lt;&gt;"職員",AJ32,IF(AND($AS$3&lt;$AS$2,$AS$4&lt;$AS$2),AJ32,IF($AS$3&lt;$AS$2,AJ31,AJ30)))</f>
        <v>#VALUE!</v>
      </c>
      <c r="Y30" s="217">
        <f t="shared" si="0"/>
        <v>120</v>
      </c>
      <c r="Z30" s="217">
        <f t="shared" si="31"/>
        <v>89</v>
      </c>
      <c r="AA30" s="217">
        <f>IF(最早退休日期!$B$1="中等以下教師",58,IF(Y30&gt;=122,65,IF(Y30&lt;107,50,VLOOKUP(Y30,Legal_Year,3,0))))</f>
        <v>58</v>
      </c>
      <c r="AB30" s="217">
        <f t="shared" si="55"/>
        <v>55</v>
      </c>
      <c r="AC30" s="217">
        <f t="shared" si="2"/>
        <v>120</v>
      </c>
      <c r="AD30" s="217" t="e">
        <f t="shared" si="3"/>
        <v>#VALUE!</v>
      </c>
      <c r="AE30" s="217" t="e">
        <f t="shared" si="56"/>
        <v>#VALUE!</v>
      </c>
      <c r="AF30" s="227" t="str">
        <f t="shared" si="5"/>
        <v>120年8月1日</v>
      </c>
      <c r="AG30" s="219" t="e">
        <f t="shared" si="6"/>
        <v>#VALUE!</v>
      </c>
      <c r="AH30" s="219" t="e">
        <f t="shared" si="7"/>
        <v>#VALUE!</v>
      </c>
      <c r="AI30" s="206" t="e">
        <f t="shared" si="8"/>
        <v>#VALUE!</v>
      </c>
      <c r="AJ30" s="207" t="e">
        <f t="shared" si="9"/>
        <v>#VALUE!</v>
      </c>
      <c r="AK30" s="217">
        <f t="shared" si="48"/>
        <v>120</v>
      </c>
      <c r="AL30" s="217" t="e">
        <f t="shared" si="10"/>
        <v>#VALUE!</v>
      </c>
      <c r="AM30" s="220" t="e">
        <f t="shared" si="11"/>
        <v>#VALUE!</v>
      </c>
      <c r="AN30" s="220" t="e">
        <f t="shared" si="12"/>
        <v>#VALUE!</v>
      </c>
      <c r="AO30" s="220" t="e">
        <f t="shared" si="13"/>
        <v>#VALUE!</v>
      </c>
      <c r="AP30" s="221" t="e">
        <f t="shared" si="14"/>
        <v>#VALUE!</v>
      </c>
      <c r="AQ30" s="221" t="e">
        <f t="shared" si="15"/>
        <v>#VALUE!</v>
      </c>
      <c r="AR30" s="222" t="e">
        <f t="shared" si="16"/>
        <v>#VALUE!</v>
      </c>
      <c r="AS30" s="223">
        <f>IF(最早退休日期!$B$2="職員",MAX(IF(ISERROR(DATEVALUE(CONCATENATE(AK30+1911,"/",$AA$1000,"/",$AB$1000))),DATEVALUE(CONCATENATE(AK30+1911,"/",3,"/",1)),DATEVALUE(CONCATENATE(AK30+1911,"/",$AA$1000,"/",$AB$1000))),AR30),DATEVALUE(CONCATENATE(AK30+1911,"/8/1")))</f>
        <v>48061</v>
      </c>
      <c r="AT30" s="224" t="e">
        <f t="shared" si="17"/>
        <v>#VALUE!</v>
      </c>
      <c r="AU30" s="224" t="e">
        <f t="shared" si="18"/>
        <v>#VALUE!</v>
      </c>
      <c r="AV30" s="224" t="e">
        <f t="shared" si="57"/>
        <v>#VALUE!</v>
      </c>
      <c r="AW30" s="224" t="e">
        <f t="shared" si="19"/>
        <v>#VALUE!</v>
      </c>
      <c r="AX30" s="224" t="b">
        <f t="shared" si="20"/>
        <v>1</v>
      </c>
      <c r="AY30" s="224" t="e">
        <f t="shared" si="21"/>
        <v>#VALUE!</v>
      </c>
      <c r="AZ30" s="224" t="b">
        <f t="shared" si="22"/>
        <v>1</v>
      </c>
      <c r="BA30" s="224" t="e">
        <f t="shared" si="58"/>
        <v>#VALUE!</v>
      </c>
      <c r="BB30" s="224" t="e">
        <f t="shared" si="59"/>
        <v>#VALUE!</v>
      </c>
      <c r="BC30" s="224" t="e">
        <f t="shared" si="60"/>
        <v>#VALUE!</v>
      </c>
      <c r="BD30" s="225" t="e">
        <f t="shared" si="23"/>
        <v>#VALUE!</v>
      </c>
      <c r="BE30" s="225" t="e">
        <f t="shared" si="24"/>
        <v>#VALUE!</v>
      </c>
      <c r="BF30" s="225" t="e">
        <f t="shared" si="25"/>
        <v>#VALUE!</v>
      </c>
      <c r="BG30" s="226" t="e">
        <f t="shared" si="26"/>
        <v>#VALUE!</v>
      </c>
      <c r="BH30" s="227" t="e">
        <f t="shared" si="27"/>
        <v>#VALUE!</v>
      </c>
    </row>
    <row r="31" spans="1:60" x14ac:dyDescent="0.25">
      <c r="A31" s="216" t="str">
        <f t="shared" si="36"/>
        <v/>
      </c>
      <c r="B31" s="217" t="str">
        <f t="shared" si="37"/>
        <v/>
      </c>
      <c r="C31" s="217" t="str">
        <f t="shared" si="38"/>
        <v/>
      </c>
      <c r="D31" s="217" t="str">
        <f t="shared" si="39"/>
        <v/>
      </c>
      <c r="E31" s="217" t="str">
        <f t="shared" si="40"/>
        <v/>
      </c>
      <c r="F31" s="217" t="str">
        <f t="shared" si="41"/>
        <v/>
      </c>
      <c r="G31" s="217" t="str">
        <f t="shared" si="42"/>
        <v/>
      </c>
      <c r="H31" s="218" t="str">
        <f t="shared" si="43"/>
        <v/>
      </c>
      <c r="I31" s="219" t="str">
        <f t="shared" si="44"/>
        <v/>
      </c>
      <c r="J31" s="219" t="str">
        <f t="shared" si="45"/>
        <v/>
      </c>
      <c r="K31" s="206" t="str">
        <f t="shared" si="46"/>
        <v/>
      </c>
      <c r="L31" s="272" t="str">
        <f t="shared" si="47"/>
        <v/>
      </c>
      <c r="M31" s="216">
        <f>IF(最早可退休日期!$D$2&lt;&gt;"職員",Y33,IF(AND($AS$3&lt;$AS$2,$AS$4&lt;$AS$2),Y33,IF($AS$3&lt;$AS$2,Y32,Y31)))</f>
        <v>122</v>
      </c>
      <c r="N31" s="217" t="str">
        <f>IF(最早可退休日期!$D$2&lt;&gt;"職員",Z33,IF(AND($AS$3&lt;$AS$2,$AS$4&lt;$AS$2),Z33,IF($AS$3&lt;$AS$2,Z32,Z31)))</f>
        <v>無</v>
      </c>
      <c r="O31" s="217">
        <f>IF(最早可退休日期!$D$2&lt;&gt;"職員",AA33,IF(AND($AS$3&lt;$AS$2,$AS$4&lt;$AS$2),AA33,IF($AS$3&lt;$AS$2,AA32,AA31)))</f>
        <v>58</v>
      </c>
      <c r="P31" s="217">
        <f>IF(最早可退休日期!$D$2&lt;&gt;"職員",AB33,IF(AND($AS$3&lt;$AS$2,$AS$4&lt;$AS$2),AB33,IF($AS$3&lt;$AS$2,AB32,AB31)))</f>
        <v>55</v>
      </c>
      <c r="Q31" s="217">
        <f>IF(最早可退休日期!$D$2&lt;&gt;"職員",AC33,IF(AND($AS$3&lt;$AS$2,$AS$4&lt;$AS$2),AC33,IF($AS$3&lt;$AS$2,AC32,AC31)))</f>
        <v>122</v>
      </c>
      <c r="R31" s="217" t="e">
        <f>IF(最早可退休日期!$D$2&lt;&gt;"職員",AD33,IF(AND($AS$3&lt;$AS$2,$AS$4&lt;$AS$2),AD33,IF($AS$3&lt;$AS$2,AD32,AD31)))</f>
        <v>#VALUE!</v>
      </c>
      <c r="S31" s="217" t="e">
        <f>IF(最早可退休日期!$D$2&lt;&gt;"職員",AE33,IF(AND($AS$3&lt;$AS$2,$AS$4&lt;$AS$2),AE33,IF($AS$3&lt;$AS$2,AE32,AE31)))</f>
        <v>#VALUE!</v>
      </c>
      <c r="T31" s="218" t="str">
        <f>IF(最早可退休日期!$D$2&lt;&gt;"職員",AF33,IF(AND($AS$3&lt;$AS$2,$AS$4&lt;$AS$2),AF33,IF($AS$3&lt;$AS$2,AF32,AF31)))</f>
        <v>122年2月1日</v>
      </c>
      <c r="U31" s="219" t="e">
        <f>IF(最早可退休日期!$D$2&lt;&gt;"職員",AG33,IF(AND($AS$3&lt;$AS$2,$AS$4&lt;$AS$2),AG33,IF($AS$3&lt;$AS$2,AG32,AG31)))</f>
        <v>#VALUE!</v>
      </c>
      <c r="V31" s="219" t="e">
        <f>IF(最早可退休日期!$D$2&lt;&gt;"職員",AH33,IF(AND($AS$3&lt;$AS$2,$AS$4&lt;$AS$2),AH33,IF($AS$3&lt;$AS$2,AH32,AH31)))</f>
        <v>#VALUE!</v>
      </c>
      <c r="W31" s="206" t="e">
        <f>IF(最早可退休日期!$D$2&lt;&gt;"職員",AI33,IF(AND($AS$3&lt;$AS$2,$AS$4&lt;$AS$2),AI33,IF($AS$3&lt;$AS$2,AI32,AI31)))</f>
        <v>#VALUE!</v>
      </c>
      <c r="X31" s="207" t="e">
        <f>IF(最早可退休日期!$D$2&lt;&gt;"職員",AJ33,IF(AND($AS$3&lt;$AS$2,$AS$4&lt;$AS$2),AJ33,IF($AS$3&lt;$AS$2,AJ32,AJ31)))</f>
        <v>#VALUE!</v>
      </c>
      <c r="Y31" s="217">
        <f t="shared" si="0"/>
        <v>121</v>
      </c>
      <c r="Z31" s="217">
        <f t="shared" si="31"/>
        <v>90</v>
      </c>
      <c r="AA31" s="217">
        <f>IF(最早退休日期!$B$1="中等以下教師",58,IF(Y31&gt;=122,65,IF(Y31&lt;107,50,VLOOKUP(Y31,Legal_Year,3,0))))</f>
        <v>58</v>
      </c>
      <c r="AB31" s="217">
        <f t="shared" si="55"/>
        <v>55</v>
      </c>
      <c r="AC31" s="217">
        <f t="shared" si="2"/>
        <v>121</v>
      </c>
      <c r="AD31" s="217" t="e">
        <f t="shared" si="3"/>
        <v>#VALUE!</v>
      </c>
      <c r="AE31" s="217" t="e">
        <f t="shared" si="56"/>
        <v>#VALUE!</v>
      </c>
      <c r="AF31" s="227" t="str">
        <f t="shared" si="5"/>
        <v>121年2月1日</v>
      </c>
      <c r="AG31" s="219" t="e">
        <f t="shared" si="6"/>
        <v>#VALUE!</v>
      </c>
      <c r="AH31" s="219" t="e">
        <f t="shared" si="7"/>
        <v>#VALUE!</v>
      </c>
      <c r="AI31" s="206" t="e">
        <f t="shared" si="8"/>
        <v>#VALUE!</v>
      </c>
      <c r="AJ31" s="207" t="e">
        <f t="shared" si="9"/>
        <v>#VALUE!</v>
      </c>
      <c r="AK31" s="217">
        <f t="shared" si="48"/>
        <v>121</v>
      </c>
      <c r="AL31" s="217" t="e">
        <f t="shared" si="10"/>
        <v>#VALUE!</v>
      </c>
      <c r="AM31" s="220" t="e">
        <f t="shared" si="11"/>
        <v>#VALUE!</v>
      </c>
      <c r="AN31" s="220" t="e">
        <f t="shared" si="12"/>
        <v>#VALUE!</v>
      </c>
      <c r="AO31" s="220" t="e">
        <f t="shared" si="13"/>
        <v>#VALUE!</v>
      </c>
      <c r="AP31" s="221" t="e">
        <f t="shared" si="14"/>
        <v>#VALUE!</v>
      </c>
      <c r="AQ31" s="221" t="e">
        <f t="shared" si="15"/>
        <v>#VALUE!</v>
      </c>
      <c r="AR31" s="222" t="e">
        <f t="shared" si="16"/>
        <v>#VALUE!</v>
      </c>
      <c r="AS31" s="223">
        <f>IF(最早退休日期!$B$2="職員",MIN(IF(ISERROR(DATEVALUE(CONCATENATE(AK31+1911,"/",$AA$1000,"/",$AB$1000))),DATEVALUE(CONCATENATE(AK31+1911,"/",3,"/",1)),DATEVALUE(CONCATENATE(AK31+1911,"/",$AA$1000,"/",$AB$1000))),AR31),DATEVALUE(CONCATENATE(AK31+1911,"/2/1")))</f>
        <v>48245</v>
      </c>
      <c r="AT31" s="224" t="e">
        <f t="shared" si="17"/>
        <v>#VALUE!</v>
      </c>
      <c r="AU31" s="224" t="e">
        <f t="shared" si="18"/>
        <v>#VALUE!</v>
      </c>
      <c r="AV31" s="224" t="e">
        <f t="shared" si="57"/>
        <v>#VALUE!</v>
      </c>
      <c r="AW31" s="224" t="e">
        <f t="shared" si="19"/>
        <v>#VALUE!</v>
      </c>
      <c r="AX31" s="224" t="b">
        <f t="shared" si="20"/>
        <v>1</v>
      </c>
      <c r="AY31" s="224" t="e">
        <f t="shared" si="21"/>
        <v>#VALUE!</v>
      </c>
      <c r="AZ31" s="224" t="b">
        <f t="shared" si="22"/>
        <v>1</v>
      </c>
      <c r="BA31" s="224" t="e">
        <f t="shared" si="58"/>
        <v>#VALUE!</v>
      </c>
      <c r="BB31" s="224" t="e">
        <f t="shared" si="59"/>
        <v>#VALUE!</v>
      </c>
      <c r="BC31" s="224" t="e">
        <f t="shared" si="60"/>
        <v>#VALUE!</v>
      </c>
      <c r="BD31" s="225" t="e">
        <f t="shared" si="23"/>
        <v>#VALUE!</v>
      </c>
      <c r="BE31" s="225" t="e">
        <f t="shared" si="24"/>
        <v>#VALUE!</v>
      </c>
      <c r="BF31" s="225" t="e">
        <f t="shared" si="25"/>
        <v>#VALUE!</v>
      </c>
      <c r="BG31" s="226" t="e">
        <f t="shared" si="26"/>
        <v>#VALUE!</v>
      </c>
      <c r="BH31" s="227" t="e">
        <f t="shared" si="27"/>
        <v>#VALUE!</v>
      </c>
    </row>
    <row r="32" spans="1:60" x14ac:dyDescent="0.25">
      <c r="A32" s="216" t="str">
        <f t="shared" si="36"/>
        <v/>
      </c>
      <c r="B32" s="217" t="str">
        <f t="shared" si="37"/>
        <v/>
      </c>
      <c r="C32" s="217" t="str">
        <f t="shared" si="38"/>
        <v/>
      </c>
      <c r="D32" s="217" t="str">
        <f t="shared" si="39"/>
        <v/>
      </c>
      <c r="E32" s="217" t="str">
        <f t="shared" si="40"/>
        <v/>
      </c>
      <c r="F32" s="217" t="str">
        <f t="shared" si="41"/>
        <v/>
      </c>
      <c r="G32" s="217" t="str">
        <f t="shared" si="42"/>
        <v/>
      </c>
      <c r="H32" s="218" t="str">
        <f t="shared" si="43"/>
        <v/>
      </c>
      <c r="I32" s="219" t="str">
        <f t="shared" si="44"/>
        <v/>
      </c>
      <c r="J32" s="219" t="str">
        <f t="shared" si="45"/>
        <v/>
      </c>
      <c r="K32" s="206" t="str">
        <f t="shared" si="46"/>
        <v/>
      </c>
      <c r="L32" s="272" t="str">
        <f t="shared" si="47"/>
        <v/>
      </c>
      <c r="M32" s="216">
        <f>IF(最早可退休日期!$D$2&lt;&gt;"職員",Y34,IF(AND($AS$3&lt;$AS$2,$AS$4&lt;$AS$2),Y34,IF($AS$3&lt;$AS$2,Y33,Y32)))</f>
        <v>122</v>
      </c>
      <c r="N32" s="217" t="str">
        <f>IF(最早可退休日期!$D$2&lt;&gt;"職員",Z34,IF(AND($AS$3&lt;$AS$2,$AS$4&lt;$AS$2),Z34,IF($AS$3&lt;$AS$2,Z33,Z32)))</f>
        <v>無</v>
      </c>
      <c r="O32" s="217">
        <f>IF(最早可退休日期!$D$2&lt;&gt;"職員",AA34,IF(AND($AS$3&lt;$AS$2,$AS$4&lt;$AS$2),AA34,IF($AS$3&lt;$AS$2,AA33,AA32)))</f>
        <v>58</v>
      </c>
      <c r="P32" s="217">
        <f>IF(最早可退休日期!$D$2&lt;&gt;"職員",AB34,IF(AND($AS$3&lt;$AS$2,$AS$4&lt;$AS$2),AB34,IF($AS$3&lt;$AS$2,AB33,AB32)))</f>
        <v>55</v>
      </c>
      <c r="Q32" s="217">
        <f>IF(最早可退休日期!$D$2&lt;&gt;"職員",AC34,IF(AND($AS$3&lt;$AS$2,$AS$4&lt;$AS$2),AC34,IF($AS$3&lt;$AS$2,AC33,AC32)))</f>
        <v>122</v>
      </c>
      <c r="R32" s="217" t="e">
        <f>IF(最早可退休日期!$D$2&lt;&gt;"職員",AD34,IF(AND($AS$3&lt;$AS$2,$AS$4&lt;$AS$2),AD34,IF($AS$3&lt;$AS$2,AD33,AD32)))</f>
        <v>#VALUE!</v>
      </c>
      <c r="S32" s="217" t="e">
        <f>IF(最早可退休日期!$D$2&lt;&gt;"職員",AE34,IF(AND($AS$3&lt;$AS$2,$AS$4&lt;$AS$2),AE34,IF($AS$3&lt;$AS$2,AE33,AE32)))</f>
        <v>#VALUE!</v>
      </c>
      <c r="T32" s="218" t="str">
        <f>IF(最早可退休日期!$D$2&lt;&gt;"職員",AF34,IF(AND($AS$3&lt;$AS$2,$AS$4&lt;$AS$2),AF34,IF($AS$3&lt;$AS$2,AF33,AF32)))</f>
        <v>122年8月1日</v>
      </c>
      <c r="U32" s="219" t="e">
        <f>IF(最早可退休日期!$D$2&lt;&gt;"職員",AG34,IF(AND($AS$3&lt;$AS$2,$AS$4&lt;$AS$2),AG34,IF($AS$3&lt;$AS$2,AG33,AG32)))</f>
        <v>#VALUE!</v>
      </c>
      <c r="V32" s="219" t="e">
        <f>IF(最早可退休日期!$D$2&lt;&gt;"職員",AH34,IF(AND($AS$3&lt;$AS$2,$AS$4&lt;$AS$2),AH34,IF($AS$3&lt;$AS$2,AH33,AH32)))</f>
        <v>#VALUE!</v>
      </c>
      <c r="W32" s="206" t="e">
        <f>IF(最早可退休日期!$D$2&lt;&gt;"職員",AI34,IF(AND($AS$3&lt;$AS$2,$AS$4&lt;$AS$2),AI34,IF($AS$3&lt;$AS$2,AI33,AI32)))</f>
        <v>#VALUE!</v>
      </c>
      <c r="X32" s="207" t="e">
        <f>IF(最早可退休日期!$D$2&lt;&gt;"職員",AJ34,IF(AND($AS$3&lt;$AS$2,$AS$4&lt;$AS$2),AJ34,IF($AS$3&lt;$AS$2,AJ33,AJ32)))</f>
        <v>#VALUE!</v>
      </c>
      <c r="Y32" s="217">
        <f t="shared" si="0"/>
        <v>121</v>
      </c>
      <c r="Z32" s="217">
        <f t="shared" si="31"/>
        <v>90</v>
      </c>
      <c r="AA32" s="217">
        <f>IF(最早退休日期!$B$1="中等以下教師",58,IF(Y32&gt;=122,65,IF(Y32&lt;107,50,VLOOKUP(Y32,Legal_Year,3,0))))</f>
        <v>58</v>
      </c>
      <c r="AB32" s="217">
        <f t="shared" si="55"/>
        <v>55</v>
      </c>
      <c r="AC32" s="217">
        <f t="shared" si="2"/>
        <v>121</v>
      </c>
      <c r="AD32" s="217" t="e">
        <f t="shared" si="3"/>
        <v>#VALUE!</v>
      </c>
      <c r="AE32" s="217" t="e">
        <f t="shared" si="56"/>
        <v>#VALUE!</v>
      </c>
      <c r="AF32" s="227" t="str">
        <f t="shared" si="5"/>
        <v>121年8月1日</v>
      </c>
      <c r="AG32" s="219" t="e">
        <f t="shared" si="6"/>
        <v>#VALUE!</v>
      </c>
      <c r="AH32" s="219" t="e">
        <f t="shared" si="7"/>
        <v>#VALUE!</v>
      </c>
      <c r="AI32" s="206" t="e">
        <f t="shared" si="8"/>
        <v>#VALUE!</v>
      </c>
      <c r="AJ32" s="207" t="e">
        <f t="shared" si="9"/>
        <v>#VALUE!</v>
      </c>
      <c r="AK32" s="217">
        <f t="shared" si="48"/>
        <v>121</v>
      </c>
      <c r="AL32" s="217" t="e">
        <f t="shared" si="10"/>
        <v>#VALUE!</v>
      </c>
      <c r="AM32" s="220" t="e">
        <f t="shared" si="11"/>
        <v>#VALUE!</v>
      </c>
      <c r="AN32" s="220" t="e">
        <f t="shared" si="12"/>
        <v>#VALUE!</v>
      </c>
      <c r="AO32" s="220" t="e">
        <f t="shared" si="13"/>
        <v>#VALUE!</v>
      </c>
      <c r="AP32" s="221" t="e">
        <f t="shared" si="14"/>
        <v>#VALUE!</v>
      </c>
      <c r="AQ32" s="221" t="e">
        <f t="shared" si="15"/>
        <v>#VALUE!</v>
      </c>
      <c r="AR32" s="222" t="e">
        <f t="shared" si="16"/>
        <v>#VALUE!</v>
      </c>
      <c r="AS32" s="223">
        <f>IF(最早退休日期!$B$2="職員",MAX(IF(ISERROR(DATEVALUE(CONCATENATE(AK32+1911,"/",$AA$1000,"/",$AB$1000))),DATEVALUE(CONCATENATE(AK32+1911,"/",3,"/",1)),DATEVALUE(CONCATENATE(AK32+1911,"/",$AA$1000,"/",$AB$1000))),AR32),DATEVALUE(CONCATENATE(AK32+1911,"/8/1")))</f>
        <v>48427</v>
      </c>
      <c r="AT32" s="224" t="e">
        <f t="shared" si="17"/>
        <v>#VALUE!</v>
      </c>
      <c r="AU32" s="224" t="e">
        <f t="shared" si="18"/>
        <v>#VALUE!</v>
      </c>
      <c r="AV32" s="224" t="e">
        <f t="shared" si="57"/>
        <v>#VALUE!</v>
      </c>
      <c r="AW32" s="224" t="e">
        <f t="shared" si="19"/>
        <v>#VALUE!</v>
      </c>
      <c r="AX32" s="224" t="b">
        <f t="shared" si="20"/>
        <v>1</v>
      </c>
      <c r="AY32" s="224" t="e">
        <f t="shared" si="21"/>
        <v>#VALUE!</v>
      </c>
      <c r="AZ32" s="224" t="b">
        <f t="shared" si="22"/>
        <v>1</v>
      </c>
      <c r="BA32" s="224" t="e">
        <f t="shared" si="58"/>
        <v>#VALUE!</v>
      </c>
      <c r="BB32" s="224" t="e">
        <f t="shared" si="59"/>
        <v>#VALUE!</v>
      </c>
      <c r="BC32" s="224" t="e">
        <f t="shared" si="60"/>
        <v>#VALUE!</v>
      </c>
      <c r="BD32" s="225" t="e">
        <f t="shared" si="23"/>
        <v>#VALUE!</v>
      </c>
      <c r="BE32" s="225" t="e">
        <f t="shared" si="24"/>
        <v>#VALUE!</v>
      </c>
      <c r="BF32" s="225" t="e">
        <f t="shared" si="25"/>
        <v>#VALUE!</v>
      </c>
      <c r="BG32" s="226" t="e">
        <f t="shared" si="26"/>
        <v>#VALUE!</v>
      </c>
      <c r="BH32" s="227" t="e">
        <f t="shared" si="27"/>
        <v>#VALUE!</v>
      </c>
    </row>
    <row r="33" spans="1:60" x14ac:dyDescent="0.25">
      <c r="A33" s="216" t="str">
        <f t="shared" si="36"/>
        <v/>
      </c>
      <c r="B33" s="217" t="str">
        <f t="shared" si="37"/>
        <v/>
      </c>
      <c r="C33" s="217" t="str">
        <f t="shared" si="38"/>
        <v/>
      </c>
      <c r="D33" s="217" t="str">
        <f t="shared" si="39"/>
        <v/>
      </c>
      <c r="E33" s="217" t="str">
        <f t="shared" si="40"/>
        <v/>
      </c>
      <c r="F33" s="217" t="str">
        <f t="shared" si="41"/>
        <v/>
      </c>
      <c r="G33" s="217" t="str">
        <f t="shared" si="42"/>
        <v/>
      </c>
      <c r="H33" s="218" t="str">
        <f t="shared" si="43"/>
        <v/>
      </c>
      <c r="I33" s="219" t="str">
        <f t="shared" si="44"/>
        <v/>
      </c>
      <c r="J33" s="219" t="str">
        <f t="shared" si="45"/>
        <v/>
      </c>
      <c r="K33" s="206" t="str">
        <f t="shared" si="46"/>
        <v/>
      </c>
      <c r="L33" s="272" t="str">
        <f t="shared" si="47"/>
        <v/>
      </c>
      <c r="M33" s="216">
        <f>IF(最早可退休日期!$D$2&lt;&gt;"職員",Y35,IF(AND($AS$3&lt;$AS$2,$AS$4&lt;$AS$2),Y35,IF($AS$3&lt;$AS$2,Y34,Y33)))</f>
        <v>123</v>
      </c>
      <c r="N33" s="217" t="str">
        <f>IF(最早可退休日期!$D$2&lt;&gt;"職員",Z35,IF(AND($AS$3&lt;$AS$2,$AS$4&lt;$AS$2),Z35,IF($AS$3&lt;$AS$2,Z34,Z33)))</f>
        <v>無</v>
      </c>
      <c r="O33" s="217">
        <f>IF(最早可退休日期!$D$2&lt;&gt;"職員",AA35,IF(AND($AS$3&lt;$AS$2,$AS$4&lt;$AS$2),AA35,IF($AS$3&lt;$AS$2,AA34,AA33)))</f>
        <v>58</v>
      </c>
      <c r="P33" s="217">
        <f>IF(最早可退休日期!$D$2&lt;&gt;"職員",AB35,IF(AND($AS$3&lt;$AS$2,$AS$4&lt;$AS$2),AB35,IF($AS$3&lt;$AS$2,AB34,AB33)))</f>
        <v>55</v>
      </c>
      <c r="Q33" s="217">
        <f>IF(最早可退休日期!$D$2&lt;&gt;"職員",AC35,IF(AND($AS$3&lt;$AS$2,$AS$4&lt;$AS$2),AC35,IF($AS$3&lt;$AS$2,AC34,AC33)))</f>
        <v>123</v>
      </c>
      <c r="R33" s="217" t="e">
        <f>IF(最早可退休日期!$D$2&lt;&gt;"職員",AD35,IF(AND($AS$3&lt;$AS$2,$AS$4&lt;$AS$2),AD35,IF($AS$3&lt;$AS$2,AD34,AD33)))</f>
        <v>#VALUE!</v>
      </c>
      <c r="S33" s="217" t="e">
        <f>IF(最早可退休日期!$D$2&lt;&gt;"職員",AE35,IF(AND($AS$3&lt;$AS$2,$AS$4&lt;$AS$2),AE35,IF($AS$3&lt;$AS$2,AE34,AE33)))</f>
        <v>#VALUE!</v>
      </c>
      <c r="T33" s="218" t="str">
        <f>IF(最早可退休日期!$D$2&lt;&gt;"職員",AF35,IF(AND($AS$3&lt;$AS$2,$AS$4&lt;$AS$2),AF35,IF($AS$3&lt;$AS$2,AF34,AF33)))</f>
        <v>123年2月1日</v>
      </c>
      <c r="U33" s="219" t="e">
        <f>IF(最早可退休日期!$D$2&lt;&gt;"職員",AG35,IF(AND($AS$3&lt;$AS$2,$AS$4&lt;$AS$2),AG35,IF($AS$3&lt;$AS$2,AG34,AG33)))</f>
        <v>#VALUE!</v>
      </c>
      <c r="V33" s="219" t="e">
        <f>IF(最早可退休日期!$D$2&lt;&gt;"職員",AH35,IF(AND($AS$3&lt;$AS$2,$AS$4&lt;$AS$2),AH35,IF($AS$3&lt;$AS$2,AH34,AH33)))</f>
        <v>#VALUE!</v>
      </c>
      <c r="W33" s="206" t="e">
        <f>IF(最早可退休日期!$D$2&lt;&gt;"職員",AI35,IF(AND($AS$3&lt;$AS$2,$AS$4&lt;$AS$2),AI35,IF($AS$3&lt;$AS$2,AI34,AI33)))</f>
        <v>#VALUE!</v>
      </c>
      <c r="X33" s="207" t="e">
        <f>IF(最早可退休日期!$D$2&lt;&gt;"職員",AJ35,IF(AND($AS$3&lt;$AS$2,$AS$4&lt;$AS$2),AJ35,IF($AS$3&lt;$AS$2,AJ34,AJ33)))</f>
        <v>#VALUE!</v>
      </c>
      <c r="Y33" s="217">
        <f t="shared" si="0"/>
        <v>122</v>
      </c>
      <c r="Z33" s="217" t="str">
        <f t="shared" si="31"/>
        <v>無</v>
      </c>
      <c r="AA33" s="217">
        <f>IF(最早退休日期!$B$1="中等以下教師",58,IF(Y33&gt;=122,65,IF(Y33&lt;107,50,VLOOKUP(Y33,Legal_Year,3,0))))</f>
        <v>58</v>
      </c>
      <c r="AB33" s="217">
        <f t="shared" si="55"/>
        <v>55</v>
      </c>
      <c r="AC33" s="217">
        <f t="shared" si="2"/>
        <v>122</v>
      </c>
      <c r="AD33" s="217" t="e">
        <f t="shared" si="3"/>
        <v>#VALUE!</v>
      </c>
      <c r="AE33" s="217" t="e">
        <f t="shared" si="56"/>
        <v>#VALUE!</v>
      </c>
      <c r="AF33" s="227" t="str">
        <f t="shared" si="5"/>
        <v>122年2月1日</v>
      </c>
      <c r="AG33" s="219" t="e">
        <f t="shared" si="6"/>
        <v>#VALUE!</v>
      </c>
      <c r="AH33" s="219" t="e">
        <f t="shared" si="7"/>
        <v>#VALUE!</v>
      </c>
      <c r="AI33" s="206" t="e">
        <f t="shared" si="8"/>
        <v>#VALUE!</v>
      </c>
      <c r="AJ33" s="207" t="e">
        <f t="shared" si="9"/>
        <v>#VALUE!</v>
      </c>
      <c r="AK33" s="217">
        <f t="shared" si="48"/>
        <v>122</v>
      </c>
      <c r="AL33" s="217" t="e">
        <f t="shared" si="10"/>
        <v>#VALUE!</v>
      </c>
      <c r="AM33" s="220" t="e">
        <f t="shared" si="11"/>
        <v>#VALUE!</v>
      </c>
      <c r="AN33" s="220" t="e">
        <f t="shared" si="12"/>
        <v>#VALUE!</v>
      </c>
      <c r="AO33" s="220" t="e">
        <f t="shared" si="13"/>
        <v>#VALUE!</v>
      </c>
      <c r="AP33" s="221" t="e">
        <f t="shared" si="14"/>
        <v>#VALUE!</v>
      </c>
      <c r="AQ33" s="221" t="e">
        <f t="shared" si="15"/>
        <v>#VALUE!</v>
      </c>
      <c r="AR33" s="222" t="e">
        <f t="shared" si="16"/>
        <v>#VALUE!</v>
      </c>
      <c r="AS33" s="223">
        <f>IF(最早退休日期!$B$2="職員",MIN(IF(ISERROR(DATEVALUE(CONCATENATE(AK33+1911,"/",$AA$1000,"/",$AB$1000))),DATEVALUE(CONCATENATE(AK33+1911,"/",3,"/",1)),DATEVALUE(CONCATENATE(AK33+1911,"/",$AA$1000,"/",$AB$1000))),AR33),DATEVALUE(CONCATENATE(AK33+1911,"/2/1")))</f>
        <v>48611</v>
      </c>
      <c r="AT33" s="224" t="e">
        <f t="shared" si="17"/>
        <v>#VALUE!</v>
      </c>
      <c r="AU33" s="224" t="e">
        <f t="shared" si="18"/>
        <v>#VALUE!</v>
      </c>
      <c r="AV33" s="224" t="e">
        <f t="shared" si="57"/>
        <v>#VALUE!</v>
      </c>
      <c r="AW33" s="224" t="e">
        <f t="shared" si="19"/>
        <v>#VALUE!</v>
      </c>
      <c r="AX33" s="224" t="b">
        <f t="shared" si="20"/>
        <v>1</v>
      </c>
      <c r="AY33" s="224" t="e">
        <f t="shared" si="21"/>
        <v>#VALUE!</v>
      </c>
      <c r="AZ33" s="224" t="b">
        <f t="shared" si="22"/>
        <v>1</v>
      </c>
      <c r="BA33" s="224" t="e">
        <f t="shared" si="58"/>
        <v>#VALUE!</v>
      </c>
      <c r="BB33" s="224" t="e">
        <f t="shared" si="59"/>
        <v>#VALUE!</v>
      </c>
      <c r="BC33" s="224" t="e">
        <f t="shared" si="60"/>
        <v>#VALUE!</v>
      </c>
      <c r="BD33" s="225" t="e">
        <f t="shared" si="23"/>
        <v>#VALUE!</v>
      </c>
      <c r="BE33" s="225" t="e">
        <f t="shared" si="24"/>
        <v>#VALUE!</v>
      </c>
      <c r="BF33" s="225" t="e">
        <f t="shared" si="25"/>
        <v>#VALUE!</v>
      </c>
      <c r="BG33" s="226" t="e">
        <f t="shared" si="26"/>
        <v>#VALUE!</v>
      </c>
      <c r="BH33" s="227" t="e">
        <f t="shared" si="27"/>
        <v>#VALUE!</v>
      </c>
    </row>
    <row r="34" spans="1:60" x14ac:dyDescent="0.25">
      <c r="A34" s="216" t="str">
        <f t="shared" si="36"/>
        <v/>
      </c>
      <c r="B34" s="217" t="str">
        <f t="shared" si="37"/>
        <v/>
      </c>
      <c r="C34" s="217" t="str">
        <f t="shared" si="38"/>
        <v/>
      </c>
      <c r="D34" s="217" t="str">
        <f t="shared" si="39"/>
        <v/>
      </c>
      <c r="E34" s="217" t="str">
        <f t="shared" si="40"/>
        <v/>
      </c>
      <c r="F34" s="217" t="str">
        <f t="shared" si="41"/>
        <v/>
      </c>
      <c r="G34" s="217" t="str">
        <f t="shared" si="42"/>
        <v/>
      </c>
      <c r="H34" s="218" t="str">
        <f t="shared" si="43"/>
        <v/>
      </c>
      <c r="I34" s="219" t="str">
        <f t="shared" si="44"/>
        <v/>
      </c>
      <c r="J34" s="219" t="str">
        <f t="shared" si="45"/>
        <v/>
      </c>
      <c r="K34" s="206" t="str">
        <f t="shared" si="46"/>
        <v/>
      </c>
      <c r="L34" s="272" t="str">
        <f t="shared" si="47"/>
        <v/>
      </c>
      <c r="M34" s="216">
        <f>IF(最早可退休日期!$D$2&lt;&gt;"職員",Y36,IF(AND($AS$3&lt;$AS$2,$AS$4&lt;$AS$2),Y36,IF($AS$3&lt;$AS$2,Y35,Y34)))</f>
        <v>123</v>
      </c>
      <c r="N34" s="217" t="str">
        <f>IF(最早可退休日期!$D$2&lt;&gt;"職員",Z36,IF(AND($AS$3&lt;$AS$2,$AS$4&lt;$AS$2),Z36,IF($AS$3&lt;$AS$2,Z35,Z34)))</f>
        <v>無</v>
      </c>
      <c r="O34" s="217">
        <f>IF(最早可退休日期!$D$2&lt;&gt;"職員",AA36,IF(AND($AS$3&lt;$AS$2,$AS$4&lt;$AS$2),AA36,IF($AS$3&lt;$AS$2,AA35,AA34)))</f>
        <v>58</v>
      </c>
      <c r="P34" s="217">
        <f>IF(最早可退休日期!$D$2&lt;&gt;"職員",AB36,IF(AND($AS$3&lt;$AS$2,$AS$4&lt;$AS$2),AB36,IF($AS$3&lt;$AS$2,AB35,AB34)))</f>
        <v>55</v>
      </c>
      <c r="Q34" s="217">
        <f>IF(最早可退休日期!$D$2&lt;&gt;"職員",AC36,IF(AND($AS$3&lt;$AS$2,$AS$4&lt;$AS$2),AC36,IF($AS$3&lt;$AS$2,AC35,AC34)))</f>
        <v>123</v>
      </c>
      <c r="R34" s="217" t="e">
        <f>IF(最早可退休日期!$D$2&lt;&gt;"職員",AD36,IF(AND($AS$3&lt;$AS$2,$AS$4&lt;$AS$2),AD36,IF($AS$3&lt;$AS$2,AD35,AD34)))</f>
        <v>#VALUE!</v>
      </c>
      <c r="S34" s="217" t="e">
        <f>IF(最早可退休日期!$D$2&lt;&gt;"職員",AE36,IF(AND($AS$3&lt;$AS$2,$AS$4&lt;$AS$2),AE36,IF($AS$3&lt;$AS$2,AE35,AE34)))</f>
        <v>#VALUE!</v>
      </c>
      <c r="T34" s="218" t="str">
        <f>IF(最早可退休日期!$D$2&lt;&gt;"職員",AF36,IF(AND($AS$3&lt;$AS$2,$AS$4&lt;$AS$2),AF36,IF($AS$3&lt;$AS$2,AF35,AF34)))</f>
        <v>123年8月1日</v>
      </c>
      <c r="U34" s="219" t="e">
        <f>IF(最早可退休日期!$D$2&lt;&gt;"職員",AG36,IF(AND($AS$3&lt;$AS$2,$AS$4&lt;$AS$2),AG36,IF($AS$3&lt;$AS$2,AG35,AG34)))</f>
        <v>#VALUE!</v>
      </c>
      <c r="V34" s="219" t="e">
        <f>IF(最早可退休日期!$D$2&lt;&gt;"職員",AH36,IF(AND($AS$3&lt;$AS$2,$AS$4&lt;$AS$2),AH36,IF($AS$3&lt;$AS$2,AH35,AH34)))</f>
        <v>#VALUE!</v>
      </c>
      <c r="W34" s="206" t="e">
        <f>IF(最早可退休日期!$D$2&lt;&gt;"職員",AI36,IF(AND($AS$3&lt;$AS$2,$AS$4&lt;$AS$2),AI36,IF($AS$3&lt;$AS$2,AI35,AI34)))</f>
        <v>#VALUE!</v>
      </c>
      <c r="X34" s="207" t="e">
        <f>IF(最早可退休日期!$D$2&lt;&gt;"職員",AJ36,IF(AND($AS$3&lt;$AS$2,$AS$4&lt;$AS$2),AJ36,IF($AS$3&lt;$AS$2,AJ35,AJ34)))</f>
        <v>#VALUE!</v>
      </c>
      <c r="Y34" s="217">
        <f t="shared" ref="Y34:Y65" si="61">(YEAR(AS34)&amp;"")-1911</f>
        <v>122</v>
      </c>
      <c r="Z34" s="217" t="str">
        <f t="shared" si="31"/>
        <v>無</v>
      </c>
      <c r="AA34" s="217">
        <f>IF(最早退休日期!$B$1="中等以下教師",58,IF(Y34&gt;=122,65,IF(Y34&lt;107,50,VLOOKUP(Y34,Legal_Year,3,0))))</f>
        <v>58</v>
      </c>
      <c r="AB34" s="217">
        <f t="shared" si="55"/>
        <v>55</v>
      </c>
      <c r="AC34" s="217">
        <f t="shared" ref="AC34:AC65" si="62">IF(OR(MONTH(AS34)&lt;$AA$1000,AND(MONTH(AS34)=$AA$1000,DAY(AS34)&lt;$AB$1000)),Y34-1,Y34)-$Z$1000</f>
        <v>122</v>
      </c>
      <c r="AD34" s="217" t="e">
        <f t="shared" ref="AD34:AD65" si="63">IF(AS34&gt;=AR34,AL34,AL34-1)</f>
        <v>#VALUE!</v>
      </c>
      <c r="AE34" s="217" t="e">
        <f t="shared" si="56"/>
        <v>#VALUE!</v>
      </c>
      <c r="AF34" s="227" t="str">
        <f t="shared" ref="AF34:AF65" si="64">CONCATENATE((YEAR(AS34)&amp;"")-1911,"年",MONTH(AS34),"月",DAY(AS34),"日")</f>
        <v>122年8月1日</v>
      </c>
      <c r="AG34" s="219" t="e">
        <f t="shared" ref="AG34:AG65" si="65">IF(BD34="","","O")</f>
        <v>#VALUE!</v>
      </c>
      <c r="AH34" s="219" t="e">
        <f t="shared" ref="AH34:AH65" si="66">IF(BE34="","","O")</f>
        <v>#VALUE!</v>
      </c>
      <c r="AI34" s="206" t="e">
        <f t="shared" ref="AI34:AI65" si="67">IF(BF34="","","O")</f>
        <v>#VALUE!</v>
      </c>
      <c r="AJ34" s="207" t="e">
        <f t="shared" ref="AJ34:AJ65" si="68">IF(BH34="","",CONCATENATE((YEAR(BH34)&amp;"")-1911,"年",MONTH(BH34),"月",DAY(BH34),"日"))</f>
        <v>#VALUE!</v>
      </c>
      <c r="AK34" s="217">
        <f t="shared" si="48"/>
        <v>122</v>
      </c>
      <c r="AL34" s="217" t="e">
        <f t="shared" ref="AL34:AL65" si="69">AK34-($Z$1007-($Z$1001+1))</f>
        <v>#VALUE!</v>
      </c>
      <c r="AM34" s="220" t="e">
        <f t="shared" ref="AM34:AM65" si="70">IF($AA$1001+$AB$1001=0,AL34-$Z$1001,AL34-$Z$1001-1)</f>
        <v>#VALUE!</v>
      </c>
      <c r="AN34" s="220" t="e">
        <f t="shared" ref="AN34:AN65" si="71">IF($AB$1001&gt;0,11-$AA$1001,IF($AA$1001=0,0,12-$AA$1001))</f>
        <v>#VALUE!</v>
      </c>
      <c r="AO34" s="220" t="e">
        <f t="shared" ref="AO34:AO65" si="72">IF($AB$1001=0,0,30-$AB$1001)</f>
        <v>#VALUE!</v>
      </c>
      <c r="AP34" s="221" t="e">
        <f t="shared" ref="AP34:AP65" si="73">DATEVALUE(CONCATENATE(AM34+$Z$1002+IF($AA$1002+AN34-1&gt;12,1,IF($AA$1002+AN34-1=0,-1,0))+1911,"/",IF(MOD(AN34+$AA$1002-1,12)=0,12,MOD(AN34+$AA$1002-1,12)),"/",VLOOKUP(IF(MOD(AN34+$AA$1002-1,12)=0,12,MOD(AN34+$AA$1002-1,12)),Month_Days,2,0)+IF(AND(IF(MOD(AN34+$AA$1002-1,12)=0,12,MOD(AN34+$AA$1002-1,12))=2,MOD(AM34+$Z$1002+IF($AA$1002+AN34-1&gt;12,1,IF($AA$1002+AN34-1=0,-1,0)),4)=1),1,0)))</f>
        <v>#VALUE!</v>
      </c>
      <c r="AQ34" s="221" t="e">
        <f t="shared" ref="AQ34:AQ65" si="74">DATEVALUE(CONCATENATE(AM34+$Z$1002+IF($AA$1002+AN34&gt;12,1,0)+1911,"/",IF(MOD(AN34+$AA$1002,12)=0,12,MOD(AN34+$AA$1002,12)),"/",VLOOKUP(IF(MOD(AN34+$AA$1002,12)=0,12,MOD(AN34+$AA$1002,12)),Month_Days,2,0)+IF(AND(IF(MOD(AN34+$AA$1002,12)=0,12,MOD(AN34+$AA$1002,12))=2,MOD(AM34+$Z$1002+IF($AA$1002+AN34&gt;12,1,0),4)=1),1,0)))</f>
        <v>#VALUE!</v>
      </c>
      <c r="AR34" s="222" t="e">
        <f t="shared" ref="AR34:AR65" si="75">IF(AND(AO34&gt;=$AD$1002,$AD$1002&gt;0),AQ34+AO34-$AD$1002,IF(AND(AO34&gt;=$AD$1002,$AD$1002=0),MIN(AP34+AO34,AQ34),MIN(AP34+($AC$1002-$AD$1002)+AO34,AQ34)))+1</f>
        <v>#VALUE!</v>
      </c>
      <c r="AS34" s="223">
        <f>IF(最早退休日期!$B$2="職員",MAX(IF(ISERROR(DATEVALUE(CONCATENATE(AK34+1911,"/",$AA$1000,"/",$AB$1000))),DATEVALUE(CONCATENATE(AK34+1911,"/",3,"/",1)),DATEVALUE(CONCATENATE(AK34+1911,"/",$AA$1000,"/",$AB$1000))),AR34),DATEVALUE(CONCATENATE(AK34+1911,"/8/1")))</f>
        <v>48792</v>
      </c>
      <c r="AT34" s="224" t="e">
        <f t="shared" ref="AT34:AT65" si="76">AD34&gt;=25</f>
        <v>#VALUE!</v>
      </c>
      <c r="AU34" s="224" t="e">
        <f t="shared" ref="AU34:AU65" si="77">AND(AC34&gt;=60,AD34&gt;=5)</f>
        <v>#VALUE!</v>
      </c>
      <c r="AV34" s="224" t="e">
        <f t="shared" si="57"/>
        <v>#VALUE!</v>
      </c>
      <c r="AW34" s="224" t="e">
        <f t="shared" ref="AW34:AW65" si="78">AE34&gt;=Z34</f>
        <v>#VALUE!</v>
      </c>
      <c r="AX34" s="224" t="b">
        <f t="shared" ref="AX34:AX65" si="79">AC34&gt;=AB34</f>
        <v>1</v>
      </c>
      <c r="AY34" s="224" t="e">
        <f t="shared" ref="AY34:AY65" si="80">AD34&gt;=15</f>
        <v>#VALUE!</v>
      </c>
      <c r="AZ34" s="224" t="b">
        <f t="shared" ref="AZ34:AZ65" si="81">AC34&gt;=AA34</f>
        <v>1</v>
      </c>
      <c r="BA34" s="224" t="e">
        <f t="shared" si="58"/>
        <v>#VALUE!</v>
      </c>
      <c r="BB34" s="224" t="e">
        <f t="shared" si="59"/>
        <v>#VALUE!</v>
      </c>
      <c r="BC34" s="224" t="e">
        <f t="shared" si="60"/>
        <v>#VALUE!</v>
      </c>
      <c r="BD34" s="225" t="e">
        <f t="shared" ref="BD34:BD65" si="82">IF(AND(AV34,BC34),AS34,"")</f>
        <v>#VALUE!</v>
      </c>
      <c r="BE34" s="225" t="e">
        <f t="shared" ref="BE34:BE65" si="83">IF(AND(AV34,AY34,BC34=FALSE,AC34&gt;=AA34-5,AC34&lt;AA34),AS34,"")</f>
        <v>#VALUE!</v>
      </c>
      <c r="BF34" s="225" t="e">
        <f t="shared" ref="BF34:BF65" si="84">IF(AND(AV34,AY34,BC34=FALSE,AC34&lt;AA34),AS34,"")</f>
        <v>#VALUE!</v>
      </c>
      <c r="BG34" s="226" t="e">
        <f t="shared" ref="BG34:BG65" si="85">IF(BE34&lt;&gt;"",-0.04*(AA34-(IF(OR(MONTH(AS34)&lt;$AA$1000,AND(MONTH(AS34)=$AA$1000,DAY(AS34)&lt;$AB$1000)),Y34-1,Y34)-$Z$1000+(IF(IF(DAY(AS34)&lt;$AB$1000,MONTH(AS34)-1,MONTH(AS34))&gt;=$AA$1000,IF(DAY(AS34)&lt;$AB$1000,MONTH(AS34)-1,MONTH(AS34))-$AA$1000,IF(DAY(AS34)&lt;$AB$1000,MONTH(AS34)-1,MONTH(AS34))+12-$AA$1000))/12)),"")</f>
        <v>#VALUE!</v>
      </c>
      <c r="BH34" s="227" t="e">
        <f t="shared" ref="BH34:BH65" si="86">IF(BF34&lt;&gt;"",IF(ISERROR(DATEVALUE(CONCATENATE($Z$1000+AA34+1911,"/",$AA$1000,"/",$AB$1000))),DATEVALUE(CONCATENATE($Z$1000+AA34+1911,"/",3,"/",1)),DATEVALUE(CONCATENATE($Z$1000+AA34+1911,"/",$AA$1000,"/",$AB$1000))),"")</f>
        <v>#VALUE!</v>
      </c>
    </row>
    <row r="35" spans="1:60" x14ac:dyDescent="0.25">
      <c r="A35" s="216" t="str">
        <f t="shared" si="36"/>
        <v/>
      </c>
      <c r="B35" s="217" t="str">
        <f t="shared" si="37"/>
        <v/>
      </c>
      <c r="C35" s="217" t="str">
        <f t="shared" si="38"/>
        <v/>
      </c>
      <c r="D35" s="217" t="str">
        <f t="shared" si="39"/>
        <v/>
      </c>
      <c r="E35" s="217" t="str">
        <f t="shared" si="40"/>
        <v/>
      </c>
      <c r="F35" s="217" t="str">
        <f t="shared" si="41"/>
        <v/>
      </c>
      <c r="G35" s="217" t="str">
        <f t="shared" si="42"/>
        <v/>
      </c>
      <c r="H35" s="218" t="str">
        <f t="shared" si="43"/>
        <v/>
      </c>
      <c r="I35" s="219" t="str">
        <f t="shared" si="44"/>
        <v/>
      </c>
      <c r="J35" s="219" t="str">
        <f t="shared" si="45"/>
        <v/>
      </c>
      <c r="K35" s="206" t="str">
        <f t="shared" si="46"/>
        <v/>
      </c>
      <c r="L35" s="272" t="str">
        <f t="shared" si="47"/>
        <v/>
      </c>
      <c r="M35" s="216">
        <f>IF(最早可退休日期!$D$2&lt;&gt;"職員",Y37,IF(AND($AS$3&lt;$AS$2,$AS$4&lt;$AS$2),Y37,IF($AS$3&lt;$AS$2,Y36,Y35)))</f>
        <v>124</v>
      </c>
      <c r="N35" s="217" t="str">
        <f>IF(最早可退休日期!$D$2&lt;&gt;"職員",Z37,IF(AND($AS$3&lt;$AS$2,$AS$4&lt;$AS$2),Z37,IF($AS$3&lt;$AS$2,Z36,Z35)))</f>
        <v>無</v>
      </c>
      <c r="O35" s="217">
        <f>IF(最早可退休日期!$D$2&lt;&gt;"職員",AA37,IF(AND($AS$3&lt;$AS$2,$AS$4&lt;$AS$2),AA37,IF($AS$3&lt;$AS$2,AA36,AA35)))</f>
        <v>58</v>
      </c>
      <c r="P35" s="217">
        <f>IF(最早可退休日期!$D$2&lt;&gt;"職員",AB37,IF(AND($AS$3&lt;$AS$2,$AS$4&lt;$AS$2),AB37,IF($AS$3&lt;$AS$2,AB36,AB35)))</f>
        <v>55</v>
      </c>
      <c r="Q35" s="217">
        <f>IF(最早可退休日期!$D$2&lt;&gt;"職員",AC37,IF(AND($AS$3&lt;$AS$2,$AS$4&lt;$AS$2),AC37,IF($AS$3&lt;$AS$2,AC36,AC35)))</f>
        <v>124</v>
      </c>
      <c r="R35" s="217" t="e">
        <f>IF(最早可退休日期!$D$2&lt;&gt;"職員",AD37,IF(AND($AS$3&lt;$AS$2,$AS$4&lt;$AS$2),AD37,IF($AS$3&lt;$AS$2,AD36,AD35)))</f>
        <v>#VALUE!</v>
      </c>
      <c r="S35" s="217" t="e">
        <f>IF(最早可退休日期!$D$2&lt;&gt;"職員",AE37,IF(AND($AS$3&lt;$AS$2,$AS$4&lt;$AS$2),AE37,IF($AS$3&lt;$AS$2,AE36,AE35)))</f>
        <v>#VALUE!</v>
      </c>
      <c r="T35" s="218" t="str">
        <f>IF(最早可退休日期!$D$2&lt;&gt;"職員",AF37,IF(AND($AS$3&lt;$AS$2,$AS$4&lt;$AS$2),AF37,IF($AS$3&lt;$AS$2,AF36,AF35)))</f>
        <v>124年2月1日</v>
      </c>
      <c r="U35" s="219" t="e">
        <f>IF(最早可退休日期!$D$2&lt;&gt;"職員",AG37,IF(AND($AS$3&lt;$AS$2,$AS$4&lt;$AS$2),AG37,IF($AS$3&lt;$AS$2,AG36,AG35)))</f>
        <v>#VALUE!</v>
      </c>
      <c r="V35" s="219" t="e">
        <f>IF(最早可退休日期!$D$2&lt;&gt;"職員",AH37,IF(AND($AS$3&lt;$AS$2,$AS$4&lt;$AS$2),AH37,IF($AS$3&lt;$AS$2,AH36,AH35)))</f>
        <v>#VALUE!</v>
      </c>
      <c r="W35" s="206" t="e">
        <f>IF(最早可退休日期!$D$2&lt;&gt;"職員",AI37,IF(AND($AS$3&lt;$AS$2,$AS$4&lt;$AS$2),AI37,IF($AS$3&lt;$AS$2,AI36,AI35)))</f>
        <v>#VALUE!</v>
      </c>
      <c r="X35" s="207" t="e">
        <f>IF(最早可退休日期!$D$2&lt;&gt;"職員",AJ37,IF(AND($AS$3&lt;$AS$2,$AS$4&lt;$AS$2),AJ37,IF($AS$3&lt;$AS$2,AJ36,AJ35)))</f>
        <v>#VALUE!</v>
      </c>
      <c r="Y35" s="217">
        <f t="shared" si="61"/>
        <v>123</v>
      </c>
      <c r="Z35" s="217" t="str">
        <f t="shared" si="31"/>
        <v>無</v>
      </c>
      <c r="AA35" s="217">
        <f>IF(最早退休日期!$B$1="中等以下教師",58,IF(Y35&gt;=122,65,IF(Y35&lt;107,50,VLOOKUP(Y35,Legal_Year,3,0))))</f>
        <v>58</v>
      </c>
      <c r="AB35" s="217">
        <f t="shared" si="55"/>
        <v>55</v>
      </c>
      <c r="AC35" s="217">
        <f t="shared" si="62"/>
        <v>123</v>
      </c>
      <c r="AD35" s="217" t="e">
        <f t="shared" si="63"/>
        <v>#VALUE!</v>
      </c>
      <c r="AE35" s="217" t="e">
        <f t="shared" si="56"/>
        <v>#VALUE!</v>
      </c>
      <c r="AF35" s="227" t="str">
        <f t="shared" si="64"/>
        <v>123年2月1日</v>
      </c>
      <c r="AG35" s="219" t="e">
        <f t="shared" si="65"/>
        <v>#VALUE!</v>
      </c>
      <c r="AH35" s="219" t="e">
        <f t="shared" si="66"/>
        <v>#VALUE!</v>
      </c>
      <c r="AI35" s="206" t="e">
        <f t="shared" si="67"/>
        <v>#VALUE!</v>
      </c>
      <c r="AJ35" s="207" t="e">
        <f t="shared" si="68"/>
        <v>#VALUE!</v>
      </c>
      <c r="AK35" s="217">
        <f t="shared" si="48"/>
        <v>123</v>
      </c>
      <c r="AL35" s="217" t="e">
        <f t="shared" si="69"/>
        <v>#VALUE!</v>
      </c>
      <c r="AM35" s="220" t="e">
        <f t="shared" si="70"/>
        <v>#VALUE!</v>
      </c>
      <c r="AN35" s="220" t="e">
        <f t="shared" si="71"/>
        <v>#VALUE!</v>
      </c>
      <c r="AO35" s="220" t="e">
        <f t="shared" si="72"/>
        <v>#VALUE!</v>
      </c>
      <c r="AP35" s="221" t="e">
        <f t="shared" si="73"/>
        <v>#VALUE!</v>
      </c>
      <c r="AQ35" s="221" t="e">
        <f t="shared" si="74"/>
        <v>#VALUE!</v>
      </c>
      <c r="AR35" s="222" t="e">
        <f t="shared" si="75"/>
        <v>#VALUE!</v>
      </c>
      <c r="AS35" s="223">
        <f>IF(最早退休日期!$B$2="職員",MIN(IF(ISERROR(DATEVALUE(CONCATENATE(AK35+1911,"/",$AA$1000,"/",$AB$1000))),DATEVALUE(CONCATENATE(AK35+1911,"/",3,"/",1)),DATEVALUE(CONCATENATE(AK35+1911,"/",$AA$1000,"/",$AB$1000))),AR35),DATEVALUE(CONCATENATE(AK35+1911,"/2/1")))</f>
        <v>48976</v>
      </c>
      <c r="AT35" s="224" t="e">
        <f t="shared" si="76"/>
        <v>#VALUE!</v>
      </c>
      <c r="AU35" s="224" t="e">
        <f t="shared" si="77"/>
        <v>#VALUE!</v>
      </c>
      <c r="AV35" s="224" t="e">
        <f t="shared" si="57"/>
        <v>#VALUE!</v>
      </c>
      <c r="AW35" s="224" t="e">
        <f t="shared" si="78"/>
        <v>#VALUE!</v>
      </c>
      <c r="AX35" s="224" t="b">
        <f t="shared" si="79"/>
        <v>1</v>
      </c>
      <c r="AY35" s="224" t="e">
        <f t="shared" si="80"/>
        <v>#VALUE!</v>
      </c>
      <c r="AZ35" s="224" t="b">
        <f t="shared" si="81"/>
        <v>1</v>
      </c>
      <c r="BA35" s="224" t="e">
        <f t="shared" si="58"/>
        <v>#VALUE!</v>
      </c>
      <c r="BB35" s="224" t="e">
        <f t="shared" si="59"/>
        <v>#VALUE!</v>
      </c>
      <c r="BC35" s="224" t="e">
        <f t="shared" si="60"/>
        <v>#VALUE!</v>
      </c>
      <c r="BD35" s="225" t="e">
        <f t="shared" si="82"/>
        <v>#VALUE!</v>
      </c>
      <c r="BE35" s="225" t="e">
        <f t="shared" si="83"/>
        <v>#VALUE!</v>
      </c>
      <c r="BF35" s="225" t="e">
        <f t="shared" si="84"/>
        <v>#VALUE!</v>
      </c>
      <c r="BG35" s="226" t="e">
        <f t="shared" si="85"/>
        <v>#VALUE!</v>
      </c>
      <c r="BH35" s="227" t="e">
        <f t="shared" si="86"/>
        <v>#VALUE!</v>
      </c>
    </row>
    <row r="36" spans="1:60" x14ac:dyDescent="0.25">
      <c r="A36" s="216" t="str">
        <f t="shared" si="36"/>
        <v/>
      </c>
      <c r="B36" s="217" t="str">
        <f t="shared" si="37"/>
        <v/>
      </c>
      <c r="C36" s="217" t="str">
        <f t="shared" si="38"/>
        <v/>
      </c>
      <c r="D36" s="217" t="str">
        <f t="shared" si="39"/>
        <v/>
      </c>
      <c r="E36" s="217" t="str">
        <f t="shared" si="40"/>
        <v/>
      </c>
      <c r="F36" s="217" t="str">
        <f t="shared" si="41"/>
        <v/>
      </c>
      <c r="G36" s="217" t="str">
        <f t="shared" si="42"/>
        <v/>
      </c>
      <c r="H36" s="218" t="str">
        <f t="shared" si="43"/>
        <v/>
      </c>
      <c r="I36" s="219" t="str">
        <f t="shared" si="44"/>
        <v/>
      </c>
      <c r="J36" s="219" t="str">
        <f t="shared" si="45"/>
        <v/>
      </c>
      <c r="K36" s="206" t="str">
        <f t="shared" si="46"/>
        <v/>
      </c>
      <c r="L36" s="272" t="str">
        <f t="shared" si="47"/>
        <v/>
      </c>
      <c r="M36" s="216">
        <f>IF(最早可退休日期!$D$2&lt;&gt;"職員",Y38,IF(AND($AS$3&lt;$AS$2,$AS$4&lt;$AS$2),Y38,IF($AS$3&lt;$AS$2,Y37,Y36)))</f>
        <v>124</v>
      </c>
      <c r="N36" s="217" t="str">
        <f>IF(最早可退休日期!$D$2&lt;&gt;"職員",Z38,IF(AND($AS$3&lt;$AS$2,$AS$4&lt;$AS$2),Z38,IF($AS$3&lt;$AS$2,Z37,Z36)))</f>
        <v>無</v>
      </c>
      <c r="O36" s="217">
        <f>IF(最早可退休日期!$D$2&lt;&gt;"職員",AA38,IF(AND($AS$3&lt;$AS$2,$AS$4&lt;$AS$2),AA38,IF($AS$3&lt;$AS$2,AA37,AA36)))</f>
        <v>58</v>
      </c>
      <c r="P36" s="217">
        <f>IF(最早可退休日期!$D$2&lt;&gt;"職員",AB38,IF(AND($AS$3&lt;$AS$2,$AS$4&lt;$AS$2),AB38,IF($AS$3&lt;$AS$2,AB37,AB36)))</f>
        <v>55</v>
      </c>
      <c r="Q36" s="217">
        <f>IF(最早可退休日期!$D$2&lt;&gt;"職員",AC38,IF(AND($AS$3&lt;$AS$2,$AS$4&lt;$AS$2),AC38,IF($AS$3&lt;$AS$2,AC37,AC36)))</f>
        <v>124</v>
      </c>
      <c r="R36" s="217" t="e">
        <f>IF(最早可退休日期!$D$2&lt;&gt;"職員",AD38,IF(AND($AS$3&lt;$AS$2,$AS$4&lt;$AS$2),AD38,IF($AS$3&lt;$AS$2,AD37,AD36)))</f>
        <v>#VALUE!</v>
      </c>
      <c r="S36" s="217" t="e">
        <f>IF(最早可退休日期!$D$2&lt;&gt;"職員",AE38,IF(AND($AS$3&lt;$AS$2,$AS$4&lt;$AS$2),AE38,IF($AS$3&lt;$AS$2,AE37,AE36)))</f>
        <v>#VALUE!</v>
      </c>
      <c r="T36" s="218" t="str">
        <f>IF(最早可退休日期!$D$2&lt;&gt;"職員",AF38,IF(AND($AS$3&lt;$AS$2,$AS$4&lt;$AS$2),AF38,IF($AS$3&lt;$AS$2,AF37,AF36)))</f>
        <v>124年8月1日</v>
      </c>
      <c r="U36" s="219" t="e">
        <f>IF(最早可退休日期!$D$2&lt;&gt;"職員",AG38,IF(AND($AS$3&lt;$AS$2,$AS$4&lt;$AS$2),AG38,IF($AS$3&lt;$AS$2,AG37,AG36)))</f>
        <v>#VALUE!</v>
      </c>
      <c r="V36" s="219" t="e">
        <f>IF(最早可退休日期!$D$2&lt;&gt;"職員",AH38,IF(AND($AS$3&lt;$AS$2,$AS$4&lt;$AS$2),AH38,IF($AS$3&lt;$AS$2,AH37,AH36)))</f>
        <v>#VALUE!</v>
      </c>
      <c r="W36" s="206" t="e">
        <f>IF(最早可退休日期!$D$2&lt;&gt;"職員",AI38,IF(AND($AS$3&lt;$AS$2,$AS$4&lt;$AS$2),AI38,IF($AS$3&lt;$AS$2,AI37,AI36)))</f>
        <v>#VALUE!</v>
      </c>
      <c r="X36" s="207" t="e">
        <f>IF(最早可退休日期!$D$2&lt;&gt;"職員",AJ38,IF(AND($AS$3&lt;$AS$2,$AS$4&lt;$AS$2),AJ38,IF($AS$3&lt;$AS$2,AJ37,AJ36)))</f>
        <v>#VALUE!</v>
      </c>
      <c r="Y36" s="217">
        <f t="shared" si="61"/>
        <v>123</v>
      </c>
      <c r="Z36" s="217" t="str">
        <f t="shared" si="31"/>
        <v>無</v>
      </c>
      <c r="AA36" s="217">
        <f>IF(最早退休日期!$B$1="中等以下教師",58,IF(Y36&gt;=122,65,IF(Y36&lt;107,50,VLOOKUP(Y36,Legal_Year,3,0))))</f>
        <v>58</v>
      </c>
      <c r="AB36" s="217">
        <f t="shared" si="55"/>
        <v>55</v>
      </c>
      <c r="AC36" s="217">
        <f t="shared" si="62"/>
        <v>123</v>
      </c>
      <c r="AD36" s="217" t="e">
        <f t="shared" si="63"/>
        <v>#VALUE!</v>
      </c>
      <c r="AE36" s="217" t="e">
        <f t="shared" si="56"/>
        <v>#VALUE!</v>
      </c>
      <c r="AF36" s="227" t="str">
        <f t="shared" si="64"/>
        <v>123年8月1日</v>
      </c>
      <c r="AG36" s="219" t="e">
        <f t="shared" si="65"/>
        <v>#VALUE!</v>
      </c>
      <c r="AH36" s="219" t="e">
        <f t="shared" si="66"/>
        <v>#VALUE!</v>
      </c>
      <c r="AI36" s="206" t="e">
        <f t="shared" si="67"/>
        <v>#VALUE!</v>
      </c>
      <c r="AJ36" s="207" t="e">
        <f t="shared" si="68"/>
        <v>#VALUE!</v>
      </c>
      <c r="AK36" s="217">
        <f t="shared" si="48"/>
        <v>123</v>
      </c>
      <c r="AL36" s="217" t="e">
        <f t="shared" si="69"/>
        <v>#VALUE!</v>
      </c>
      <c r="AM36" s="220" t="e">
        <f t="shared" si="70"/>
        <v>#VALUE!</v>
      </c>
      <c r="AN36" s="220" t="e">
        <f t="shared" si="71"/>
        <v>#VALUE!</v>
      </c>
      <c r="AO36" s="220" t="e">
        <f t="shared" si="72"/>
        <v>#VALUE!</v>
      </c>
      <c r="AP36" s="221" t="e">
        <f t="shared" si="73"/>
        <v>#VALUE!</v>
      </c>
      <c r="AQ36" s="221" t="e">
        <f t="shared" si="74"/>
        <v>#VALUE!</v>
      </c>
      <c r="AR36" s="222" t="e">
        <f t="shared" si="75"/>
        <v>#VALUE!</v>
      </c>
      <c r="AS36" s="223">
        <f>IF(最早退休日期!$B$2="職員",MAX(IF(ISERROR(DATEVALUE(CONCATENATE(AK36+1911,"/",$AA$1000,"/",$AB$1000))),DATEVALUE(CONCATENATE(AK36+1911,"/",3,"/",1)),DATEVALUE(CONCATENATE(AK36+1911,"/",$AA$1000,"/",$AB$1000))),AR36),DATEVALUE(CONCATENATE(AK36+1911,"/8/1")))</f>
        <v>49157</v>
      </c>
      <c r="AT36" s="224" t="e">
        <f t="shared" si="76"/>
        <v>#VALUE!</v>
      </c>
      <c r="AU36" s="224" t="e">
        <f t="shared" si="77"/>
        <v>#VALUE!</v>
      </c>
      <c r="AV36" s="224" t="e">
        <f t="shared" si="57"/>
        <v>#VALUE!</v>
      </c>
      <c r="AW36" s="224" t="e">
        <f t="shared" si="78"/>
        <v>#VALUE!</v>
      </c>
      <c r="AX36" s="224" t="b">
        <f t="shared" si="79"/>
        <v>1</v>
      </c>
      <c r="AY36" s="224" t="e">
        <f t="shared" si="80"/>
        <v>#VALUE!</v>
      </c>
      <c r="AZ36" s="224" t="b">
        <f t="shared" si="81"/>
        <v>1</v>
      </c>
      <c r="BA36" s="224" t="e">
        <f t="shared" si="58"/>
        <v>#VALUE!</v>
      </c>
      <c r="BB36" s="224" t="e">
        <f t="shared" si="59"/>
        <v>#VALUE!</v>
      </c>
      <c r="BC36" s="224" t="e">
        <f t="shared" si="60"/>
        <v>#VALUE!</v>
      </c>
      <c r="BD36" s="225" t="e">
        <f t="shared" si="82"/>
        <v>#VALUE!</v>
      </c>
      <c r="BE36" s="225" t="e">
        <f t="shared" si="83"/>
        <v>#VALUE!</v>
      </c>
      <c r="BF36" s="225" t="e">
        <f t="shared" si="84"/>
        <v>#VALUE!</v>
      </c>
      <c r="BG36" s="226" t="e">
        <f t="shared" si="85"/>
        <v>#VALUE!</v>
      </c>
      <c r="BH36" s="227" t="e">
        <f t="shared" si="86"/>
        <v>#VALUE!</v>
      </c>
    </row>
    <row r="37" spans="1:60" x14ac:dyDescent="0.25">
      <c r="A37" s="216" t="str">
        <f t="shared" si="36"/>
        <v/>
      </c>
      <c r="B37" s="217" t="str">
        <f t="shared" si="37"/>
        <v/>
      </c>
      <c r="C37" s="217" t="str">
        <f t="shared" si="38"/>
        <v/>
      </c>
      <c r="D37" s="217" t="str">
        <f t="shared" si="39"/>
        <v/>
      </c>
      <c r="E37" s="217" t="str">
        <f t="shared" si="40"/>
        <v/>
      </c>
      <c r="F37" s="217" t="str">
        <f t="shared" si="41"/>
        <v/>
      </c>
      <c r="G37" s="217" t="str">
        <f t="shared" si="42"/>
        <v/>
      </c>
      <c r="H37" s="218" t="str">
        <f t="shared" si="43"/>
        <v/>
      </c>
      <c r="I37" s="219" t="str">
        <f t="shared" si="44"/>
        <v/>
      </c>
      <c r="J37" s="219" t="str">
        <f t="shared" si="45"/>
        <v/>
      </c>
      <c r="K37" s="206" t="str">
        <f t="shared" si="46"/>
        <v/>
      </c>
      <c r="L37" s="272" t="str">
        <f t="shared" si="47"/>
        <v/>
      </c>
      <c r="M37" s="216">
        <f>IF(最早可退休日期!$D$2&lt;&gt;"職員",Y39,IF(AND($AS$3&lt;$AS$2,$AS$4&lt;$AS$2),Y39,IF($AS$3&lt;$AS$2,Y38,Y37)))</f>
        <v>125</v>
      </c>
      <c r="N37" s="217" t="str">
        <f>IF(最早可退休日期!$D$2&lt;&gt;"職員",Z39,IF(AND($AS$3&lt;$AS$2,$AS$4&lt;$AS$2),Z39,IF($AS$3&lt;$AS$2,Z38,Z37)))</f>
        <v>無</v>
      </c>
      <c r="O37" s="217">
        <f>IF(最早可退休日期!$D$2&lt;&gt;"職員",AA39,IF(AND($AS$3&lt;$AS$2,$AS$4&lt;$AS$2),AA39,IF($AS$3&lt;$AS$2,AA38,AA37)))</f>
        <v>58</v>
      </c>
      <c r="P37" s="217">
        <f>IF(最早可退休日期!$D$2&lt;&gt;"職員",AB39,IF(AND($AS$3&lt;$AS$2,$AS$4&lt;$AS$2),AB39,IF($AS$3&lt;$AS$2,AB38,AB37)))</f>
        <v>55</v>
      </c>
      <c r="Q37" s="217">
        <f>IF(最早可退休日期!$D$2&lt;&gt;"職員",AC39,IF(AND($AS$3&lt;$AS$2,$AS$4&lt;$AS$2),AC39,IF($AS$3&lt;$AS$2,AC38,AC37)))</f>
        <v>125</v>
      </c>
      <c r="R37" s="217" t="e">
        <f>IF(最早可退休日期!$D$2&lt;&gt;"職員",AD39,IF(AND($AS$3&lt;$AS$2,$AS$4&lt;$AS$2),AD39,IF($AS$3&lt;$AS$2,AD38,AD37)))</f>
        <v>#VALUE!</v>
      </c>
      <c r="S37" s="217" t="e">
        <f>IF(最早可退休日期!$D$2&lt;&gt;"職員",AE39,IF(AND($AS$3&lt;$AS$2,$AS$4&lt;$AS$2),AE39,IF($AS$3&lt;$AS$2,AE38,AE37)))</f>
        <v>#VALUE!</v>
      </c>
      <c r="T37" s="218" t="str">
        <f>IF(最早可退休日期!$D$2&lt;&gt;"職員",AF39,IF(AND($AS$3&lt;$AS$2,$AS$4&lt;$AS$2),AF39,IF($AS$3&lt;$AS$2,AF38,AF37)))</f>
        <v>125年2月1日</v>
      </c>
      <c r="U37" s="219" t="e">
        <f>IF(最早可退休日期!$D$2&lt;&gt;"職員",AG39,IF(AND($AS$3&lt;$AS$2,$AS$4&lt;$AS$2),AG39,IF($AS$3&lt;$AS$2,AG38,AG37)))</f>
        <v>#VALUE!</v>
      </c>
      <c r="V37" s="219" t="e">
        <f>IF(最早可退休日期!$D$2&lt;&gt;"職員",AH39,IF(AND($AS$3&lt;$AS$2,$AS$4&lt;$AS$2),AH39,IF($AS$3&lt;$AS$2,AH38,AH37)))</f>
        <v>#VALUE!</v>
      </c>
      <c r="W37" s="206" t="e">
        <f>IF(最早可退休日期!$D$2&lt;&gt;"職員",AI39,IF(AND($AS$3&lt;$AS$2,$AS$4&lt;$AS$2),AI39,IF($AS$3&lt;$AS$2,AI38,AI37)))</f>
        <v>#VALUE!</v>
      </c>
      <c r="X37" s="207" t="e">
        <f>IF(最早可退休日期!$D$2&lt;&gt;"職員",AJ39,IF(AND($AS$3&lt;$AS$2,$AS$4&lt;$AS$2),AJ39,IF($AS$3&lt;$AS$2,AJ38,AJ37)))</f>
        <v>#VALUE!</v>
      </c>
      <c r="Y37" s="217">
        <f t="shared" si="61"/>
        <v>124</v>
      </c>
      <c r="Z37" s="217" t="str">
        <f t="shared" si="31"/>
        <v>無</v>
      </c>
      <c r="AA37" s="217">
        <f>IF(最早退休日期!$B$1="中等以下教師",58,IF(Y37&gt;=122,65,IF(Y37&lt;107,50,VLOOKUP(Y37,Legal_Year,3,0))))</f>
        <v>58</v>
      </c>
      <c r="AB37" s="217">
        <f t="shared" si="55"/>
        <v>55</v>
      </c>
      <c r="AC37" s="217">
        <f t="shared" si="62"/>
        <v>124</v>
      </c>
      <c r="AD37" s="217" t="e">
        <f t="shared" si="63"/>
        <v>#VALUE!</v>
      </c>
      <c r="AE37" s="217" t="e">
        <f t="shared" si="56"/>
        <v>#VALUE!</v>
      </c>
      <c r="AF37" s="227" t="str">
        <f t="shared" si="64"/>
        <v>124年2月1日</v>
      </c>
      <c r="AG37" s="219" t="e">
        <f t="shared" si="65"/>
        <v>#VALUE!</v>
      </c>
      <c r="AH37" s="219" t="e">
        <f t="shared" si="66"/>
        <v>#VALUE!</v>
      </c>
      <c r="AI37" s="206" t="e">
        <f t="shared" si="67"/>
        <v>#VALUE!</v>
      </c>
      <c r="AJ37" s="207" t="e">
        <f t="shared" si="68"/>
        <v>#VALUE!</v>
      </c>
      <c r="AK37" s="217">
        <f t="shared" si="48"/>
        <v>124</v>
      </c>
      <c r="AL37" s="217" t="e">
        <f t="shared" si="69"/>
        <v>#VALUE!</v>
      </c>
      <c r="AM37" s="220" t="e">
        <f t="shared" si="70"/>
        <v>#VALUE!</v>
      </c>
      <c r="AN37" s="220" t="e">
        <f t="shared" si="71"/>
        <v>#VALUE!</v>
      </c>
      <c r="AO37" s="220" t="e">
        <f t="shared" si="72"/>
        <v>#VALUE!</v>
      </c>
      <c r="AP37" s="221" t="e">
        <f t="shared" si="73"/>
        <v>#VALUE!</v>
      </c>
      <c r="AQ37" s="221" t="e">
        <f t="shared" si="74"/>
        <v>#VALUE!</v>
      </c>
      <c r="AR37" s="222" t="e">
        <f t="shared" si="75"/>
        <v>#VALUE!</v>
      </c>
      <c r="AS37" s="223">
        <f>IF(最早退休日期!$B$2="職員",MIN(IF(ISERROR(DATEVALUE(CONCATENATE(AK37+1911,"/",$AA$1000,"/",$AB$1000))),DATEVALUE(CONCATENATE(AK37+1911,"/",3,"/",1)),DATEVALUE(CONCATENATE(AK37+1911,"/",$AA$1000,"/",$AB$1000))),AR37),DATEVALUE(CONCATENATE(AK37+1911,"/2/1")))</f>
        <v>49341</v>
      </c>
      <c r="AT37" s="224" t="e">
        <f t="shared" si="76"/>
        <v>#VALUE!</v>
      </c>
      <c r="AU37" s="224" t="e">
        <f t="shared" si="77"/>
        <v>#VALUE!</v>
      </c>
      <c r="AV37" s="224" t="e">
        <f t="shared" si="57"/>
        <v>#VALUE!</v>
      </c>
      <c r="AW37" s="224" t="e">
        <f t="shared" si="78"/>
        <v>#VALUE!</v>
      </c>
      <c r="AX37" s="224" t="b">
        <f t="shared" si="79"/>
        <v>1</v>
      </c>
      <c r="AY37" s="224" t="e">
        <f t="shared" si="80"/>
        <v>#VALUE!</v>
      </c>
      <c r="AZ37" s="224" t="b">
        <f t="shared" si="81"/>
        <v>1</v>
      </c>
      <c r="BA37" s="224" t="e">
        <f t="shared" si="58"/>
        <v>#VALUE!</v>
      </c>
      <c r="BB37" s="224" t="e">
        <f t="shared" si="59"/>
        <v>#VALUE!</v>
      </c>
      <c r="BC37" s="224" t="e">
        <f t="shared" si="60"/>
        <v>#VALUE!</v>
      </c>
      <c r="BD37" s="225" t="e">
        <f t="shared" si="82"/>
        <v>#VALUE!</v>
      </c>
      <c r="BE37" s="225" t="e">
        <f t="shared" si="83"/>
        <v>#VALUE!</v>
      </c>
      <c r="BF37" s="225" t="e">
        <f t="shared" si="84"/>
        <v>#VALUE!</v>
      </c>
      <c r="BG37" s="226" t="e">
        <f t="shared" si="85"/>
        <v>#VALUE!</v>
      </c>
      <c r="BH37" s="227" t="e">
        <f t="shared" si="86"/>
        <v>#VALUE!</v>
      </c>
    </row>
    <row r="38" spans="1:60" x14ac:dyDescent="0.25">
      <c r="A38" s="216" t="str">
        <f t="shared" si="36"/>
        <v/>
      </c>
      <c r="B38" s="217" t="str">
        <f t="shared" si="37"/>
        <v/>
      </c>
      <c r="C38" s="217" t="str">
        <f t="shared" si="38"/>
        <v/>
      </c>
      <c r="D38" s="217" t="str">
        <f t="shared" si="39"/>
        <v/>
      </c>
      <c r="E38" s="217" t="str">
        <f t="shared" si="40"/>
        <v/>
      </c>
      <c r="F38" s="217" t="str">
        <f t="shared" si="41"/>
        <v/>
      </c>
      <c r="G38" s="217" t="str">
        <f t="shared" si="42"/>
        <v/>
      </c>
      <c r="H38" s="218" t="str">
        <f t="shared" si="43"/>
        <v/>
      </c>
      <c r="I38" s="219" t="str">
        <f t="shared" si="44"/>
        <v/>
      </c>
      <c r="J38" s="219" t="str">
        <f t="shared" si="45"/>
        <v/>
      </c>
      <c r="K38" s="206" t="str">
        <f t="shared" si="46"/>
        <v/>
      </c>
      <c r="L38" s="272" t="str">
        <f t="shared" si="47"/>
        <v/>
      </c>
      <c r="M38" s="216">
        <f>IF(最早可退休日期!$D$2&lt;&gt;"職員",Y40,IF(AND($AS$3&lt;$AS$2,$AS$4&lt;$AS$2),Y40,IF($AS$3&lt;$AS$2,Y39,Y38)))</f>
        <v>125</v>
      </c>
      <c r="N38" s="217" t="str">
        <f>IF(最早可退休日期!$D$2&lt;&gt;"職員",Z40,IF(AND($AS$3&lt;$AS$2,$AS$4&lt;$AS$2),Z40,IF($AS$3&lt;$AS$2,Z39,Z38)))</f>
        <v>無</v>
      </c>
      <c r="O38" s="217">
        <f>IF(最早可退休日期!$D$2&lt;&gt;"職員",AA40,IF(AND($AS$3&lt;$AS$2,$AS$4&lt;$AS$2),AA40,IF($AS$3&lt;$AS$2,AA39,AA38)))</f>
        <v>58</v>
      </c>
      <c r="P38" s="217">
        <f>IF(最早可退休日期!$D$2&lt;&gt;"職員",AB40,IF(AND($AS$3&lt;$AS$2,$AS$4&lt;$AS$2),AB40,IF($AS$3&lt;$AS$2,AB39,AB38)))</f>
        <v>55</v>
      </c>
      <c r="Q38" s="217">
        <f>IF(最早可退休日期!$D$2&lt;&gt;"職員",AC40,IF(AND($AS$3&lt;$AS$2,$AS$4&lt;$AS$2),AC40,IF($AS$3&lt;$AS$2,AC39,AC38)))</f>
        <v>125</v>
      </c>
      <c r="R38" s="217" t="e">
        <f>IF(最早可退休日期!$D$2&lt;&gt;"職員",AD40,IF(AND($AS$3&lt;$AS$2,$AS$4&lt;$AS$2),AD40,IF($AS$3&lt;$AS$2,AD39,AD38)))</f>
        <v>#VALUE!</v>
      </c>
      <c r="S38" s="217" t="e">
        <f>IF(最早可退休日期!$D$2&lt;&gt;"職員",AE40,IF(AND($AS$3&lt;$AS$2,$AS$4&lt;$AS$2),AE40,IF($AS$3&lt;$AS$2,AE39,AE38)))</f>
        <v>#VALUE!</v>
      </c>
      <c r="T38" s="218" t="str">
        <f>IF(最早可退休日期!$D$2&lt;&gt;"職員",AF40,IF(AND($AS$3&lt;$AS$2,$AS$4&lt;$AS$2),AF40,IF($AS$3&lt;$AS$2,AF39,AF38)))</f>
        <v>125年8月1日</v>
      </c>
      <c r="U38" s="219" t="e">
        <f>IF(最早可退休日期!$D$2&lt;&gt;"職員",AG40,IF(AND($AS$3&lt;$AS$2,$AS$4&lt;$AS$2),AG40,IF($AS$3&lt;$AS$2,AG39,AG38)))</f>
        <v>#VALUE!</v>
      </c>
      <c r="V38" s="219" t="e">
        <f>IF(最早可退休日期!$D$2&lt;&gt;"職員",AH40,IF(AND($AS$3&lt;$AS$2,$AS$4&lt;$AS$2),AH40,IF($AS$3&lt;$AS$2,AH39,AH38)))</f>
        <v>#VALUE!</v>
      </c>
      <c r="W38" s="206" t="e">
        <f>IF(最早可退休日期!$D$2&lt;&gt;"職員",AI40,IF(AND($AS$3&lt;$AS$2,$AS$4&lt;$AS$2),AI40,IF($AS$3&lt;$AS$2,AI39,AI38)))</f>
        <v>#VALUE!</v>
      </c>
      <c r="X38" s="207" t="e">
        <f>IF(最早可退休日期!$D$2&lt;&gt;"職員",AJ40,IF(AND($AS$3&lt;$AS$2,$AS$4&lt;$AS$2),AJ40,IF($AS$3&lt;$AS$2,AJ39,AJ38)))</f>
        <v>#VALUE!</v>
      </c>
      <c r="Y38" s="217">
        <f t="shared" si="61"/>
        <v>124</v>
      </c>
      <c r="Z38" s="217" t="str">
        <f t="shared" si="31"/>
        <v>無</v>
      </c>
      <c r="AA38" s="217">
        <f>IF(最早退休日期!$B$1="中等以下教師",58,IF(Y38&gt;=122,65,IF(Y38&lt;107,50,VLOOKUP(Y38,Legal_Year,3,0))))</f>
        <v>58</v>
      </c>
      <c r="AB38" s="217">
        <f t="shared" si="55"/>
        <v>55</v>
      </c>
      <c r="AC38" s="217">
        <f t="shared" si="62"/>
        <v>124</v>
      </c>
      <c r="AD38" s="217" t="e">
        <f t="shared" si="63"/>
        <v>#VALUE!</v>
      </c>
      <c r="AE38" s="217" t="e">
        <f t="shared" si="56"/>
        <v>#VALUE!</v>
      </c>
      <c r="AF38" s="227" t="str">
        <f t="shared" si="64"/>
        <v>124年8月1日</v>
      </c>
      <c r="AG38" s="219" t="e">
        <f t="shared" si="65"/>
        <v>#VALUE!</v>
      </c>
      <c r="AH38" s="219" t="e">
        <f t="shared" si="66"/>
        <v>#VALUE!</v>
      </c>
      <c r="AI38" s="206" t="e">
        <f t="shared" si="67"/>
        <v>#VALUE!</v>
      </c>
      <c r="AJ38" s="207" t="e">
        <f t="shared" si="68"/>
        <v>#VALUE!</v>
      </c>
      <c r="AK38" s="217">
        <f t="shared" si="48"/>
        <v>124</v>
      </c>
      <c r="AL38" s="217" t="e">
        <f t="shared" si="69"/>
        <v>#VALUE!</v>
      </c>
      <c r="AM38" s="220" t="e">
        <f t="shared" si="70"/>
        <v>#VALUE!</v>
      </c>
      <c r="AN38" s="220" t="e">
        <f t="shared" si="71"/>
        <v>#VALUE!</v>
      </c>
      <c r="AO38" s="220" t="e">
        <f t="shared" si="72"/>
        <v>#VALUE!</v>
      </c>
      <c r="AP38" s="221" t="e">
        <f t="shared" si="73"/>
        <v>#VALUE!</v>
      </c>
      <c r="AQ38" s="221" t="e">
        <f t="shared" si="74"/>
        <v>#VALUE!</v>
      </c>
      <c r="AR38" s="222" t="e">
        <f t="shared" si="75"/>
        <v>#VALUE!</v>
      </c>
      <c r="AS38" s="223">
        <f>IF(最早退休日期!$B$2="職員",MAX(IF(ISERROR(DATEVALUE(CONCATENATE(AK38+1911,"/",$AA$1000,"/",$AB$1000))),DATEVALUE(CONCATENATE(AK38+1911,"/",3,"/",1)),DATEVALUE(CONCATENATE(AK38+1911,"/",$AA$1000,"/",$AB$1000))),AR38),DATEVALUE(CONCATENATE(AK38+1911,"/8/1")))</f>
        <v>49522</v>
      </c>
      <c r="AT38" s="224" t="e">
        <f t="shared" si="76"/>
        <v>#VALUE!</v>
      </c>
      <c r="AU38" s="224" t="e">
        <f t="shared" si="77"/>
        <v>#VALUE!</v>
      </c>
      <c r="AV38" s="224" t="e">
        <f t="shared" si="57"/>
        <v>#VALUE!</v>
      </c>
      <c r="AW38" s="224" t="e">
        <f t="shared" si="78"/>
        <v>#VALUE!</v>
      </c>
      <c r="AX38" s="224" t="b">
        <f t="shared" si="79"/>
        <v>1</v>
      </c>
      <c r="AY38" s="224" t="e">
        <f t="shared" si="80"/>
        <v>#VALUE!</v>
      </c>
      <c r="AZ38" s="224" t="b">
        <f t="shared" si="81"/>
        <v>1</v>
      </c>
      <c r="BA38" s="224" t="e">
        <f t="shared" si="58"/>
        <v>#VALUE!</v>
      </c>
      <c r="BB38" s="224" t="e">
        <f t="shared" si="59"/>
        <v>#VALUE!</v>
      </c>
      <c r="BC38" s="224" t="e">
        <f t="shared" si="60"/>
        <v>#VALUE!</v>
      </c>
      <c r="BD38" s="225" t="e">
        <f t="shared" si="82"/>
        <v>#VALUE!</v>
      </c>
      <c r="BE38" s="225" t="e">
        <f t="shared" si="83"/>
        <v>#VALUE!</v>
      </c>
      <c r="BF38" s="225" t="e">
        <f t="shared" si="84"/>
        <v>#VALUE!</v>
      </c>
      <c r="BG38" s="226" t="e">
        <f t="shared" si="85"/>
        <v>#VALUE!</v>
      </c>
      <c r="BH38" s="227" t="e">
        <f t="shared" si="86"/>
        <v>#VALUE!</v>
      </c>
    </row>
    <row r="39" spans="1:60" x14ac:dyDescent="0.25">
      <c r="A39" s="216" t="str">
        <f t="shared" si="36"/>
        <v/>
      </c>
      <c r="B39" s="217" t="str">
        <f t="shared" si="37"/>
        <v/>
      </c>
      <c r="C39" s="217" t="str">
        <f t="shared" si="38"/>
        <v/>
      </c>
      <c r="D39" s="217" t="str">
        <f t="shared" si="39"/>
        <v/>
      </c>
      <c r="E39" s="217" t="str">
        <f t="shared" si="40"/>
        <v/>
      </c>
      <c r="F39" s="217" t="str">
        <f t="shared" si="41"/>
        <v/>
      </c>
      <c r="G39" s="217" t="str">
        <f t="shared" si="42"/>
        <v/>
      </c>
      <c r="H39" s="218" t="str">
        <f t="shared" si="43"/>
        <v/>
      </c>
      <c r="I39" s="219" t="str">
        <f t="shared" si="44"/>
        <v/>
      </c>
      <c r="J39" s="219" t="str">
        <f t="shared" si="45"/>
        <v/>
      </c>
      <c r="K39" s="206" t="str">
        <f t="shared" si="46"/>
        <v/>
      </c>
      <c r="L39" s="272" t="str">
        <f t="shared" si="47"/>
        <v/>
      </c>
      <c r="M39" s="216">
        <f>IF(最早可退休日期!$D$2&lt;&gt;"職員",Y41,IF(AND($AS$3&lt;$AS$2,$AS$4&lt;$AS$2),Y41,IF($AS$3&lt;$AS$2,Y40,Y39)))</f>
        <v>126</v>
      </c>
      <c r="N39" s="217" t="str">
        <f>IF(最早可退休日期!$D$2&lt;&gt;"職員",Z41,IF(AND($AS$3&lt;$AS$2,$AS$4&lt;$AS$2),Z41,IF($AS$3&lt;$AS$2,Z40,Z39)))</f>
        <v>無</v>
      </c>
      <c r="O39" s="217">
        <f>IF(最早可退休日期!$D$2&lt;&gt;"職員",AA41,IF(AND($AS$3&lt;$AS$2,$AS$4&lt;$AS$2),AA41,IF($AS$3&lt;$AS$2,AA40,AA39)))</f>
        <v>58</v>
      </c>
      <c r="P39" s="217">
        <f>IF(最早可退休日期!$D$2&lt;&gt;"職員",AB41,IF(AND($AS$3&lt;$AS$2,$AS$4&lt;$AS$2),AB41,IF($AS$3&lt;$AS$2,AB40,AB39)))</f>
        <v>55</v>
      </c>
      <c r="Q39" s="217">
        <f>IF(最早可退休日期!$D$2&lt;&gt;"職員",AC41,IF(AND($AS$3&lt;$AS$2,$AS$4&lt;$AS$2),AC41,IF($AS$3&lt;$AS$2,AC40,AC39)))</f>
        <v>126</v>
      </c>
      <c r="R39" s="217" t="e">
        <f>IF(最早可退休日期!$D$2&lt;&gt;"職員",AD41,IF(AND($AS$3&lt;$AS$2,$AS$4&lt;$AS$2),AD41,IF($AS$3&lt;$AS$2,AD40,AD39)))</f>
        <v>#VALUE!</v>
      </c>
      <c r="S39" s="217" t="e">
        <f>IF(最早可退休日期!$D$2&lt;&gt;"職員",AE41,IF(AND($AS$3&lt;$AS$2,$AS$4&lt;$AS$2),AE41,IF($AS$3&lt;$AS$2,AE40,AE39)))</f>
        <v>#VALUE!</v>
      </c>
      <c r="T39" s="218" t="str">
        <f>IF(最早可退休日期!$D$2&lt;&gt;"職員",AF41,IF(AND($AS$3&lt;$AS$2,$AS$4&lt;$AS$2),AF41,IF($AS$3&lt;$AS$2,AF40,AF39)))</f>
        <v>126年2月1日</v>
      </c>
      <c r="U39" s="219" t="e">
        <f>IF(最早可退休日期!$D$2&lt;&gt;"職員",AG41,IF(AND($AS$3&lt;$AS$2,$AS$4&lt;$AS$2),AG41,IF($AS$3&lt;$AS$2,AG40,AG39)))</f>
        <v>#VALUE!</v>
      </c>
      <c r="V39" s="219" t="e">
        <f>IF(最早可退休日期!$D$2&lt;&gt;"職員",AH41,IF(AND($AS$3&lt;$AS$2,$AS$4&lt;$AS$2),AH41,IF($AS$3&lt;$AS$2,AH40,AH39)))</f>
        <v>#VALUE!</v>
      </c>
      <c r="W39" s="206" t="e">
        <f>IF(最早可退休日期!$D$2&lt;&gt;"職員",AI41,IF(AND($AS$3&lt;$AS$2,$AS$4&lt;$AS$2),AI41,IF($AS$3&lt;$AS$2,AI40,AI39)))</f>
        <v>#VALUE!</v>
      </c>
      <c r="X39" s="207" t="e">
        <f>IF(最早可退休日期!$D$2&lt;&gt;"職員",AJ41,IF(AND($AS$3&lt;$AS$2,$AS$4&lt;$AS$2),AJ41,IF($AS$3&lt;$AS$2,AJ40,AJ39)))</f>
        <v>#VALUE!</v>
      </c>
      <c r="Y39" s="217">
        <f t="shared" si="61"/>
        <v>125</v>
      </c>
      <c r="Z39" s="217" t="str">
        <f t="shared" si="31"/>
        <v>無</v>
      </c>
      <c r="AA39" s="217">
        <f>IF(最早退休日期!$B$1="中等以下教師",58,IF(Y39&gt;=122,65,IF(Y39&lt;107,50,VLOOKUP(Y39,Legal_Year,3,0))))</f>
        <v>58</v>
      </c>
      <c r="AB39" s="217">
        <f t="shared" si="55"/>
        <v>55</v>
      </c>
      <c r="AC39" s="217">
        <f t="shared" si="62"/>
        <v>125</v>
      </c>
      <c r="AD39" s="217" t="e">
        <f t="shared" si="63"/>
        <v>#VALUE!</v>
      </c>
      <c r="AE39" s="217" t="e">
        <f t="shared" si="56"/>
        <v>#VALUE!</v>
      </c>
      <c r="AF39" s="227" t="str">
        <f t="shared" si="64"/>
        <v>125年2月1日</v>
      </c>
      <c r="AG39" s="219" t="e">
        <f t="shared" si="65"/>
        <v>#VALUE!</v>
      </c>
      <c r="AH39" s="219" t="e">
        <f t="shared" si="66"/>
        <v>#VALUE!</v>
      </c>
      <c r="AI39" s="206" t="e">
        <f t="shared" si="67"/>
        <v>#VALUE!</v>
      </c>
      <c r="AJ39" s="207" t="e">
        <f t="shared" si="68"/>
        <v>#VALUE!</v>
      </c>
      <c r="AK39" s="217">
        <f t="shared" si="48"/>
        <v>125</v>
      </c>
      <c r="AL39" s="217" t="e">
        <f t="shared" si="69"/>
        <v>#VALUE!</v>
      </c>
      <c r="AM39" s="220" t="e">
        <f t="shared" si="70"/>
        <v>#VALUE!</v>
      </c>
      <c r="AN39" s="220" t="e">
        <f t="shared" si="71"/>
        <v>#VALUE!</v>
      </c>
      <c r="AO39" s="220" t="e">
        <f t="shared" si="72"/>
        <v>#VALUE!</v>
      </c>
      <c r="AP39" s="221" t="e">
        <f t="shared" si="73"/>
        <v>#VALUE!</v>
      </c>
      <c r="AQ39" s="221" t="e">
        <f t="shared" si="74"/>
        <v>#VALUE!</v>
      </c>
      <c r="AR39" s="222" t="e">
        <f t="shared" si="75"/>
        <v>#VALUE!</v>
      </c>
      <c r="AS39" s="223">
        <f>IF(最早退休日期!$B$2="職員",MIN(IF(ISERROR(DATEVALUE(CONCATENATE(AK39+1911,"/",$AA$1000,"/",$AB$1000))),DATEVALUE(CONCATENATE(AK39+1911,"/",3,"/",1)),DATEVALUE(CONCATENATE(AK39+1911,"/",$AA$1000,"/",$AB$1000))),AR39),DATEVALUE(CONCATENATE(AK39+1911,"/2/1")))</f>
        <v>49706</v>
      </c>
      <c r="AT39" s="224" t="e">
        <f t="shared" si="76"/>
        <v>#VALUE!</v>
      </c>
      <c r="AU39" s="224" t="e">
        <f t="shared" si="77"/>
        <v>#VALUE!</v>
      </c>
      <c r="AV39" s="224" t="e">
        <f t="shared" si="57"/>
        <v>#VALUE!</v>
      </c>
      <c r="AW39" s="224" t="e">
        <f t="shared" si="78"/>
        <v>#VALUE!</v>
      </c>
      <c r="AX39" s="224" t="b">
        <f t="shared" si="79"/>
        <v>1</v>
      </c>
      <c r="AY39" s="224" t="e">
        <f t="shared" si="80"/>
        <v>#VALUE!</v>
      </c>
      <c r="AZ39" s="224" t="b">
        <f t="shared" si="81"/>
        <v>1</v>
      </c>
      <c r="BA39" s="224" t="e">
        <f t="shared" si="58"/>
        <v>#VALUE!</v>
      </c>
      <c r="BB39" s="224" t="e">
        <f t="shared" si="59"/>
        <v>#VALUE!</v>
      </c>
      <c r="BC39" s="224" t="e">
        <f t="shared" si="60"/>
        <v>#VALUE!</v>
      </c>
      <c r="BD39" s="225" t="e">
        <f t="shared" si="82"/>
        <v>#VALUE!</v>
      </c>
      <c r="BE39" s="225" t="e">
        <f t="shared" si="83"/>
        <v>#VALUE!</v>
      </c>
      <c r="BF39" s="225" t="e">
        <f t="shared" si="84"/>
        <v>#VALUE!</v>
      </c>
      <c r="BG39" s="226" t="e">
        <f t="shared" si="85"/>
        <v>#VALUE!</v>
      </c>
      <c r="BH39" s="227" t="e">
        <f t="shared" si="86"/>
        <v>#VALUE!</v>
      </c>
    </row>
    <row r="40" spans="1:60" x14ac:dyDescent="0.25">
      <c r="A40" s="216" t="str">
        <f t="shared" si="36"/>
        <v/>
      </c>
      <c r="B40" s="217" t="str">
        <f t="shared" si="37"/>
        <v/>
      </c>
      <c r="C40" s="217" t="str">
        <f t="shared" si="38"/>
        <v/>
      </c>
      <c r="D40" s="217" t="str">
        <f t="shared" si="39"/>
        <v/>
      </c>
      <c r="E40" s="217" t="str">
        <f t="shared" si="40"/>
        <v/>
      </c>
      <c r="F40" s="217" t="str">
        <f t="shared" si="41"/>
        <v/>
      </c>
      <c r="G40" s="217" t="str">
        <f t="shared" si="42"/>
        <v/>
      </c>
      <c r="H40" s="218" t="str">
        <f t="shared" si="43"/>
        <v/>
      </c>
      <c r="I40" s="219" t="str">
        <f t="shared" si="44"/>
        <v/>
      </c>
      <c r="J40" s="219" t="str">
        <f t="shared" si="45"/>
        <v/>
      </c>
      <c r="K40" s="206" t="str">
        <f t="shared" si="46"/>
        <v/>
      </c>
      <c r="L40" s="272" t="str">
        <f t="shared" si="47"/>
        <v/>
      </c>
      <c r="M40" s="216">
        <f>IF(最早可退休日期!$D$2&lt;&gt;"職員",Y42,IF(AND($AS$3&lt;$AS$2,$AS$4&lt;$AS$2),Y42,IF($AS$3&lt;$AS$2,Y41,Y40)))</f>
        <v>126</v>
      </c>
      <c r="N40" s="217" t="str">
        <f>IF(最早可退休日期!$D$2&lt;&gt;"職員",Z42,IF(AND($AS$3&lt;$AS$2,$AS$4&lt;$AS$2),Z42,IF($AS$3&lt;$AS$2,Z41,Z40)))</f>
        <v>無</v>
      </c>
      <c r="O40" s="217">
        <f>IF(最早可退休日期!$D$2&lt;&gt;"職員",AA42,IF(AND($AS$3&lt;$AS$2,$AS$4&lt;$AS$2),AA42,IF($AS$3&lt;$AS$2,AA41,AA40)))</f>
        <v>58</v>
      </c>
      <c r="P40" s="217">
        <f>IF(最早可退休日期!$D$2&lt;&gt;"職員",AB42,IF(AND($AS$3&lt;$AS$2,$AS$4&lt;$AS$2),AB42,IF($AS$3&lt;$AS$2,AB41,AB40)))</f>
        <v>55</v>
      </c>
      <c r="Q40" s="217">
        <f>IF(最早可退休日期!$D$2&lt;&gt;"職員",AC42,IF(AND($AS$3&lt;$AS$2,$AS$4&lt;$AS$2),AC42,IF($AS$3&lt;$AS$2,AC41,AC40)))</f>
        <v>126</v>
      </c>
      <c r="R40" s="217" t="e">
        <f>IF(最早可退休日期!$D$2&lt;&gt;"職員",AD42,IF(AND($AS$3&lt;$AS$2,$AS$4&lt;$AS$2),AD42,IF($AS$3&lt;$AS$2,AD41,AD40)))</f>
        <v>#VALUE!</v>
      </c>
      <c r="S40" s="217" t="e">
        <f>IF(最早可退休日期!$D$2&lt;&gt;"職員",AE42,IF(AND($AS$3&lt;$AS$2,$AS$4&lt;$AS$2),AE42,IF($AS$3&lt;$AS$2,AE41,AE40)))</f>
        <v>#VALUE!</v>
      </c>
      <c r="T40" s="218" t="str">
        <f>IF(最早可退休日期!$D$2&lt;&gt;"職員",AF42,IF(AND($AS$3&lt;$AS$2,$AS$4&lt;$AS$2),AF42,IF($AS$3&lt;$AS$2,AF41,AF40)))</f>
        <v>126年8月1日</v>
      </c>
      <c r="U40" s="219" t="e">
        <f>IF(最早可退休日期!$D$2&lt;&gt;"職員",AG42,IF(AND($AS$3&lt;$AS$2,$AS$4&lt;$AS$2),AG42,IF($AS$3&lt;$AS$2,AG41,AG40)))</f>
        <v>#VALUE!</v>
      </c>
      <c r="V40" s="219" t="e">
        <f>IF(最早可退休日期!$D$2&lt;&gt;"職員",AH42,IF(AND($AS$3&lt;$AS$2,$AS$4&lt;$AS$2),AH42,IF($AS$3&lt;$AS$2,AH41,AH40)))</f>
        <v>#VALUE!</v>
      </c>
      <c r="W40" s="206" t="e">
        <f>IF(最早可退休日期!$D$2&lt;&gt;"職員",AI42,IF(AND($AS$3&lt;$AS$2,$AS$4&lt;$AS$2),AI42,IF($AS$3&lt;$AS$2,AI41,AI40)))</f>
        <v>#VALUE!</v>
      </c>
      <c r="X40" s="207" t="e">
        <f>IF(最早可退休日期!$D$2&lt;&gt;"職員",AJ42,IF(AND($AS$3&lt;$AS$2,$AS$4&lt;$AS$2),AJ42,IF($AS$3&lt;$AS$2,AJ41,AJ40)))</f>
        <v>#VALUE!</v>
      </c>
      <c r="Y40" s="217">
        <f t="shared" si="61"/>
        <v>125</v>
      </c>
      <c r="Z40" s="217" t="str">
        <f t="shared" si="31"/>
        <v>無</v>
      </c>
      <c r="AA40" s="217">
        <f>IF(最早退休日期!$B$1="中等以下教師",58,IF(Y40&gt;=122,65,IF(Y40&lt;107,50,VLOOKUP(Y40,Legal_Year,3,0))))</f>
        <v>58</v>
      </c>
      <c r="AB40" s="217">
        <f t="shared" si="55"/>
        <v>55</v>
      </c>
      <c r="AC40" s="217">
        <f t="shared" si="62"/>
        <v>125</v>
      </c>
      <c r="AD40" s="217" t="e">
        <f t="shared" si="63"/>
        <v>#VALUE!</v>
      </c>
      <c r="AE40" s="217" t="e">
        <f t="shared" si="56"/>
        <v>#VALUE!</v>
      </c>
      <c r="AF40" s="227" t="str">
        <f t="shared" si="64"/>
        <v>125年8月1日</v>
      </c>
      <c r="AG40" s="219" t="e">
        <f t="shared" si="65"/>
        <v>#VALUE!</v>
      </c>
      <c r="AH40" s="219" t="e">
        <f t="shared" si="66"/>
        <v>#VALUE!</v>
      </c>
      <c r="AI40" s="206" t="e">
        <f t="shared" si="67"/>
        <v>#VALUE!</v>
      </c>
      <c r="AJ40" s="207" t="e">
        <f t="shared" si="68"/>
        <v>#VALUE!</v>
      </c>
      <c r="AK40" s="217">
        <f t="shared" si="48"/>
        <v>125</v>
      </c>
      <c r="AL40" s="217" t="e">
        <f t="shared" si="69"/>
        <v>#VALUE!</v>
      </c>
      <c r="AM40" s="220" t="e">
        <f t="shared" si="70"/>
        <v>#VALUE!</v>
      </c>
      <c r="AN40" s="220" t="e">
        <f t="shared" si="71"/>
        <v>#VALUE!</v>
      </c>
      <c r="AO40" s="220" t="e">
        <f t="shared" si="72"/>
        <v>#VALUE!</v>
      </c>
      <c r="AP40" s="221" t="e">
        <f t="shared" si="73"/>
        <v>#VALUE!</v>
      </c>
      <c r="AQ40" s="221" t="e">
        <f t="shared" si="74"/>
        <v>#VALUE!</v>
      </c>
      <c r="AR40" s="222" t="e">
        <f t="shared" si="75"/>
        <v>#VALUE!</v>
      </c>
      <c r="AS40" s="223">
        <f>IF(最早退休日期!$B$2="職員",MAX(IF(ISERROR(DATEVALUE(CONCATENATE(AK40+1911,"/",$AA$1000,"/",$AB$1000))),DATEVALUE(CONCATENATE(AK40+1911,"/",3,"/",1)),DATEVALUE(CONCATENATE(AK40+1911,"/",$AA$1000,"/",$AB$1000))),AR40),DATEVALUE(CONCATENATE(AK40+1911,"/8/1")))</f>
        <v>49888</v>
      </c>
      <c r="AT40" s="224" t="e">
        <f t="shared" si="76"/>
        <v>#VALUE!</v>
      </c>
      <c r="AU40" s="224" t="e">
        <f t="shared" si="77"/>
        <v>#VALUE!</v>
      </c>
      <c r="AV40" s="224" t="e">
        <f t="shared" si="57"/>
        <v>#VALUE!</v>
      </c>
      <c r="AW40" s="224" t="e">
        <f t="shared" si="78"/>
        <v>#VALUE!</v>
      </c>
      <c r="AX40" s="224" t="b">
        <f t="shared" si="79"/>
        <v>1</v>
      </c>
      <c r="AY40" s="224" t="e">
        <f t="shared" si="80"/>
        <v>#VALUE!</v>
      </c>
      <c r="AZ40" s="224" t="b">
        <f t="shared" si="81"/>
        <v>1</v>
      </c>
      <c r="BA40" s="224" t="e">
        <f t="shared" si="58"/>
        <v>#VALUE!</v>
      </c>
      <c r="BB40" s="224" t="e">
        <f t="shared" si="59"/>
        <v>#VALUE!</v>
      </c>
      <c r="BC40" s="224" t="e">
        <f t="shared" si="60"/>
        <v>#VALUE!</v>
      </c>
      <c r="BD40" s="225" t="e">
        <f t="shared" si="82"/>
        <v>#VALUE!</v>
      </c>
      <c r="BE40" s="225" t="e">
        <f t="shared" si="83"/>
        <v>#VALUE!</v>
      </c>
      <c r="BF40" s="225" t="e">
        <f t="shared" si="84"/>
        <v>#VALUE!</v>
      </c>
      <c r="BG40" s="226" t="e">
        <f t="shared" si="85"/>
        <v>#VALUE!</v>
      </c>
      <c r="BH40" s="227" t="e">
        <f t="shared" si="86"/>
        <v>#VALUE!</v>
      </c>
    </row>
    <row r="41" spans="1:60" x14ac:dyDescent="0.25">
      <c r="A41" s="216" t="str">
        <f t="shared" si="36"/>
        <v/>
      </c>
      <c r="B41" s="217" t="str">
        <f t="shared" si="37"/>
        <v/>
      </c>
      <c r="C41" s="217" t="str">
        <f t="shared" si="38"/>
        <v/>
      </c>
      <c r="D41" s="217" t="str">
        <f t="shared" si="39"/>
        <v/>
      </c>
      <c r="E41" s="217" t="str">
        <f t="shared" si="40"/>
        <v/>
      </c>
      <c r="F41" s="217" t="str">
        <f t="shared" si="41"/>
        <v/>
      </c>
      <c r="G41" s="217" t="str">
        <f t="shared" si="42"/>
        <v/>
      </c>
      <c r="H41" s="218" t="str">
        <f t="shared" si="43"/>
        <v/>
      </c>
      <c r="I41" s="219" t="str">
        <f t="shared" si="44"/>
        <v/>
      </c>
      <c r="J41" s="219" t="str">
        <f t="shared" si="45"/>
        <v/>
      </c>
      <c r="K41" s="206" t="str">
        <f t="shared" si="46"/>
        <v/>
      </c>
      <c r="L41" s="272" t="str">
        <f t="shared" si="47"/>
        <v/>
      </c>
      <c r="M41" s="216">
        <f>IF(最早可退休日期!$D$2&lt;&gt;"職員",Y43,IF(AND($AS$3&lt;$AS$2,$AS$4&lt;$AS$2),Y43,IF($AS$3&lt;$AS$2,Y42,Y41)))</f>
        <v>127</v>
      </c>
      <c r="N41" s="217" t="str">
        <f>IF(最早可退休日期!$D$2&lt;&gt;"職員",Z43,IF(AND($AS$3&lt;$AS$2,$AS$4&lt;$AS$2),Z43,IF($AS$3&lt;$AS$2,Z42,Z41)))</f>
        <v>無</v>
      </c>
      <c r="O41" s="217">
        <f>IF(最早可退休日期!$D$2&lt;&gt;"職員",AA43,IF(AND($AS$3&lt;$AS$2,$AS$4&lt;$AS$2),AA43,IF($AS$3&lt;$AS$2,AA42,AA41)))</f>
        <v>58</v>
      </c>
      <c r="P41" s="217">
        <f>IF(最早可退休日期!$D$2&lt;&gt;"職員",AB43,IF(AND($AS$3&lt;$AS$2,$AS$4&lt;$AS$2),AB43,IF($AS$3&lt;$AS$2,AB42,AB41)))</f>
        <v>55</v>
      </c>
      <c r="Q41" s="217">
        <f>IF(最早可退休日期!$D$2&lt;&gt;"職員",AC43,IF(AND($AS$3&lt;$AS$2,$AS$4&lt;$AS$2),AC43,IF($AS$3&lt;$AS$2,AC42,AC41)))</f>
        <v>127</v>
      </c>
      <c r="R41" s="217" t="e">
        <f>IF(最早可退休日期!$D$2&lt;&gt;"職員",AD43,IF(AND($AS$3&lt;$AS$2,$AS$4&lt;$AS$2),AD43,IF($AS$3&lt;$AS$2,AD42,AD41)))</f>
        <v>#VALUE!</v>
      </c>
      <c r="S41" s="217" t="e">
        <f>IF(最早可退休日期!$D$2&lt;&gt;"職員",AE43,IF(AND($AS$3&lt;$AS$2,$AS$4&lt;$AS$2),AE43,IF($AS$3&lt;$AS$2,AE42,AE41)))</f>
        <v>#VALUE!</v>
      </c>
      <c r="T41" s="218" t="str">
        <f>IF(最早可退休日期!$D$2&lt;&gt;"職員",AF43,IF(AND($AS$3&lt;$AS$2,$AS$4&lt;$AS$2),AF43,IF($AS$3&lt;$AS$2,AF42,AF41)))</f>
        <v>127年2月1日</v>
      </c>
      <c r="U41" s="219" t="e">
        <f>IF(最早可退休日期!$D$2&lt;&gt;"職員",AG43,IF(AND($AS$3&lt;$AS$2,$AS$4&lt;$AS$2),AG43,IF($AS$3&lt;$AS$2,AG42,AG41)))</f>
        <v>#VALUE!</v>
      </c>
      <c r="V41" s="219" t="e">
        <f>IF(最早可退休日期!$D$2&lt;&gt;"職員",AH43,IF(AND($AS$3&lt;$AS$2,$AS$4&lt;$AS$2),AH43,IF($AS$3&lt;$AS$2,AH42,AH41)))</f>
        <v>#VALUE!</v>
      </c>
      <c r="W41" s="206" t="e">
        <f>IF(最早可退休日期!$D$2&lt;&gt;"職員",AI43,IF(AND($AS$3&lt;$AS$2,$AS$4&lt;$AS$2),AI43,IF($AS$3&lt;$AS$2,AI42,AI41)))</f>
        <v>#VALUE!</v>
      </c>
      <c r="X41" s="207" t="e">
        <f>IF(最早可退休日期!$D$2&lt;&gt;"職員",AJ43,IF(AND($AS$3&lt;$AS$2,$AS$4&lt;$AS$2),AJ43,IF($AS$3&lt;$AS$2,AJ42,AJ41)))</f>
        <v>#VALUE!</v>
      </c>
      <c r="Y41" s="217">
        <f t="shared" si="61"/>
        <v>126</v>
      </c>
      <c r="Z41" s="217" t="str">
        <f t="shared" si="31"/>
        <v>無</v>
      </c>
      <c r="AA41" s="217">
        <f>IF(最早退休日期!$B$1="中等以下教師",58,IF(Y41&gt;=122,65,IF(Y41&lt;107,50,VLOOKUP(Y41,Legal_Year,3,0))))</f>
        <v>58</v>
      </c>
      <c r="AB41" s="217">
        <f t="shared" ref="AB41:AB84" si="87">IF(Y41&lt;=115,50,55)</f>
        <v>55</v>
      </c>
      <c r="AC41" s="217">
        <f t="shared" si="62"/>
        <v>126</v>
      </c>
      <c r="AD41" s="217" t="e">
        <f t="shared" si="63"/>
        <v>#VALUE!</v>
      </c>
      <c r="AE41" s="217" t="e">
        <f t="shared" ref="AE41:AE84" si="88">AC41+AD41</f>
        <v>#VALUE!</v>
      </c>
      <c r="AF41" s="227" t="str">
        <f t="shared" si="64"/>
        <v>126年2月1日</v>
      </c>
      <c r="AG41" s="219" t="e">
        <f t="shared" si="65"/>
        <v>#VALUE!</v>
      </c>
      <c r="AH41" s="219" t="e">
        <f t="shared" si="66"/>
        <v>#VALUE!</v>
      </c>
      <c r="AI41" s="206" t="e">
        <f t="shared" si="67"/>
        <v>#VALUE!</v>
      </c>
      <c r="AJ41" s="207" t="e">
        <f t="shared" si="68"/>
        <v>#VALUE!</v>
      </c>
      <c r="AK41" s="217">
        <f t="shared" si="48"/>
        <v>126</v>
      </c>
      <c r="AL41" s="217" t="e">
        <f t="shared" si="69"/>
        <v>#VALUE!</v>
      </c>
      <c r="AM41" s="220" t="e">
        <f t="shared" si="70"/>
        <v>#VALUE!</v>
      </c>
      <c r="AN41" s="220" t="e">
        <f t="shared" si="71"/>
        <v>#VALUE!</v>
      </c>
      <c r="AO41" s="220" t="e">
        <f t="shared" si="72"/>
        <v>#VALUE!</v>
      </c>
      <c r="AP41" s="221" t="e">
        <f t="shared" si="73"/>
        <v>#VALUE!</v>
      </c>
      <c r="AQ41" s="221" t="e">
        <f t="shared" si="74"/>
        <v>#VALUE!</v>
      </c>
      <c r="AR41" s="222" t="e">
        <f t="shared" si="75"/>
        <v>#VALUE!</v>
      </c>
      <c r="AS41" s="223">
        <f>IF(最早退休日期!$B$2="職員",MIN(IF(ISERROR(DATEVALUE(CONCATENATE(AK41+1911,"/",$AA$1000,"/",$AB$1000))),DATEVALUE(CONCATENATE(AK41+1911,"/",3,"/",1)),DATEVALUE(CONCATENATE(AK41+1911,"/",$AA$1000,"/",$AB$1000))),AR41),DATEVALUE(CONCATENATE(AK41+1911,"/2/1")))</f>
        <v>50072</v>
      </c>
      <c r="AT41" s="224" t="e">
        <f t="shared" si="76"/>
        <v>#VALUE!</v>
      </c>
      <c r="AU41" s="224" t="e">
        <f t="shared" si="77"/>
        <v>#VALUE!</v>
      </c>
      <c r="AV41" s="224" t="e">
        <f t="shared" ref="AV41:AV84" si="89">OR(AT41,AU41)</f>
        <v>#VALUE!</v>
      </c>
      <c r="AW41" s="224" t="e">
        <f t="shared" si="78"/>
        <v>#VALUE!</v>
      </c>
      <c r="AX41" s="224" t="b">
        <f t="shared" si="79"/>
        <v>1</v>
      </c>
      <c r="AY41" s="224" t="e">
        <f t="shared" si="80"/>
        <v>#VALUE!</v>
      </c>
      <c r="AZ41" s="224" t="b">
        <f t="shared" si="81"/>
        <v>1</v>
      </c>
      <c r="BA41" s="224" t="e">
        <f t="shared" ref="BA41:BA84" si="90">AND(AW41,AX41,AY41)</f>
        <v>#VALUE!</v>
      </c>
      <c r="BB41" s="224" t="e">
        <f t="shared" ref="BB41:BB84" si="91">AND(AY41,AZ41)</f>
        <v>#VALUE!</v>
      </c>
      <c r="BC41" s="224" t="e">
        <f t="shared" ref="BC41:BC84" si="92">OR(BA41,BB41)</f>
        <v>#VALUE!</v>
      </c>
      <c r="BD41" s="225" t="e">
        <f t="shared" si="82"/>
        <v>#VALUE!</v>
      </c>
      <c r="BE41" s="225" t="e">
        <f t="shared" si="83"/>
        <v>#VALUE!</v>
      </c>
      <c r="BF41" s="225" t="e">
        <f t="shared" si="84"/>
        <v>#VALUE!</v>
      </c>
      <c r="BG41" s="226" t="e">
        <f t="shared" si="85"/>
        <v>#VALUE!</v>
      </c>
      <c r="BH41" s="227" t="e">
        <f t="shared" si="86"/>
        <v>#VALUE!</v>
      </c>
    </row>
    <row r="42" spans="1:60" x14ac:dyDescent="0.25">
      <c r="A42" s="216" t="str">
        <f t="shared" si="36"/>
        <v/>
      </c>
      <c r="B42" s="217" t="str">
        <f t="shared" si="37"/>
        <v/>
      </c>
      <c r="C42" s="217" t="str">
        <f t="shared" si="38"/>
        <v/>
      </c>
      <c r="D42" s="217" t="str">
        <f t="shared" si="39"/>
        <v/>
      </c>
      <c r="E42" s="217" t="str">
        <f t="shared" si="40"/>
        <v/>
      </c>
      <c r="F42" s="217" t="str">
        <f t="shared" si="41"/>
        <v/>
      </c>
      <c r="G42" s="217" t="str">
        <f t="shared" si="42"/>
        <v/>
      </c>
      <c r="H42" s="218" t="str">
        <f t="shared" si="43"/>
        <v/>
      </c>
      <c r="I42" s="219" t="str">
        <f t="shared" si="44"/>
        <v/>
      </c>
      <c r="J42" s="219" t="str">
        <f t="shared" si="45"/>
        <v/>
      </c>
      <c r="K42" s="206" t="str">
        <f t="shared" si="46"/>
        <v/>
      </c>
      <c r="L42" s="272" t="str">
        <f t="shared" si="47"/>
        <v/>
      </c>
      <c r="M42" s="216">
        <f>IF(最早可退休日期!$D$2&lt;&gt;"職員",Y44,IF(AND($AS$3&lt;$AS$2,$AS$4&lt;$AS$2),Y44,IF($AS$3&lt;$AS$2,Y43,Y42)))</f>
        <v>127</v>
      </c>
      <c r="N42" s="217" t="str">
        <f>IF(最早可退休日期!$D$2&lt;&gt;"職員",Z44,IF(AND($AS$3&lt;$AS$2,$AS$4&lt;$AS$2),Z44,IF($AS$3&lt;$AS$2,Z43,Z42)))</f>
        <v>無</v>
      </c>
      <c r="O42" s="217">
        <f>IF(最早可退休日期!$D$2&lt;&gt;"職員",AA44,IF(AND($AS$3&lt;$AS$2,$AS$4&lt;$AS$2),AA44,IF($AS$3&lt;$AS$2,AA43,AA42)))</f>
        <v>58</v>
      </c>
      <c r="P42" s="217">
        <f>IF(最早可退休日期!$D$2&lt;&gt;"職員",AB44,IF(AND($AS$3&lt;$AS$2,$AS$4&lt;$AS$2),AB44,IF($AS$3&lt;$AS$2,AB43,AB42)))</f>
        <v>55</v>
      </c>
      <c r="Q42" s="217">
        <f>IF(最早可退休日期!$D$2&lt;&gt;"職員",AC44,IF(AND($AS$3&lt;$AS$2,$AS$4&lt;$AS$2),AC44,IF($AS$3&lt;$AS$2,AC43,AC42)))</f>
        <v>127</v>
      </c>
      <c r="R42" s="217" t="e">
        <f>IF(最早可退休日期!$D$2&lt;&gt;"職員",AD44,IF(AND($AS$3&lt;$AS$2,$AS$4&lt;$AS$2),AD44,IF($AS$3&lt;$AS$2,AD43,AD42)))</f>
        <v>#VALUE!</v>
      </c>
      <c r="S42" s="217" t="e">
        <f>IF(最早可退休日期!$D$2&lt;&gt;"職員",AE44,IF(AND($AS$3&lt;$AS$2,$AS$4&lt;$AS$2),AE44,IF($AS$3&lt;$AS$2,AE43,AE42)))</f>
        <v>#VALUE!</v>
      </c>
      <c r="T42" s="218" t="str">
        <f>IF(最早可退休日期!$D$2&lt;&gt;"職員",AF44,IF(AND($AS$3&lt;$AS$2,$AS$4&lt;$AS$2),AF44,IF($AS$3&lt;$AS$2,AF43,AF42)))</f>
        <v>127年8月1日</v>
      </c>
      <c r="U42" s="219" t="e">
        <f>IF(最早可退休日期!$D$2&lt;&gt;"職員",AG44,IF(AND($AS$3&lt;$AS$2,$AS$4&lt;$AS$2),AG44,IF($AS$3&lt;$AS$2,AG43,AG42)))</f>
        <v>#VALUE!</v>
      </c>
      <c r="V42" s="219" t="e">
        <f>IF(最早可退休日期!$D$2&lt;&gt;"職員",AH44,IF(AND($AS$3&lt;$AS$2,$AS$4&lt;$AS$2),AH44,IF($AS$3&lt;$AS$2,AH43,AH42)))</f>
        <v>#VALUE!</v>
      </c>
      <c r="W42" s="206" t="e">
        <f>IF(最早可退休日期!$D$2&lt;&gt;"職員",AI44,IF(AND($AS$3&lt;$AS$2,$AS$4&lt;$AS$2),AI44,IF($AS$3&lt;$AS$2,AI43,AI42)))</f>
        <v>#VALUE!</v>
      </c>
      <c r="X42" s="207" t="e">
        <f>IF(最早可退休日期!$D$2&lt;&gt;"職員",AJ44,IF(AND($AS$3&lt;$AS$2,$AS$4&lt;$AS$2),AJ44,IF($AS$3&lt;$AS$2,AJ43,AJ42)))</f>
        <v>#VALUE!</v>
      </c>
      <c r="Y42" s="217">
        <f t="shared" si="61"/>
        <v>126</v>
      </c>
      <c r="Z42" s="217" t="str">
        <f t="shared" si="31"/>
        <v>無</v>
      </c>
      <c r="AA42" s="217">
        <f>IF(最早退休日期!$B$1="中等以下教師",58,IF(Y42&gt;=122,65,IF(Y42&lt;107,50,VLOOKUP(Y42,Legal_Year,3,0))))</f>
        <v>58</v>
      </c>
      <c r="AB42" s="217">
        <f t="shared" si="87"/>
        <v>55</v>
      </c>
      <c r="AC42" s="217">
        <f t="shared" si="62"/>
        <v>126</v>
      </c>
      <c r="AD42" s="217" t="e">
        <f t="shared" si="63"/>
        <v>#VALUE!</v>
      </c>
      <c r="AE42" s="217" t="e">
        <f t="shared" si="88"/>
        <v>#VALUE!</v>
      </c>
      <c r="AF42" s="227" t="str">
        <f t="shared" si="64"/>
        <v>126年8月1日</v>
      </c>
      <c r="AG42" s="219" t="e">
        <f t="shared" si="65"/>
        <v>#VALUE!</v>
      </c>
      <c r="AH42" s="219" t="e">
        <f t="shared" si="66"/>
        <v>#VALUE!</v>
      </c>
      <c r="AI42" s="206" t="e">
        <f t="shared" si="67"/>
        <v>#VALUE!</v>
      </c>
      <c r="AJ42" s="207" t="e">
        <f t="shared" si="68"/>
        <v>#VALUE!</v>
      </c>
      <c r="AK42" s="217">
        <f t="shared" si="48"/>
        <v>126</v>
      </c>
      <c r="AL42" s="217" t="e">
        <f t="shared" si="69"/>
        <v>#VALUE!</v>
      </c>
      <c r="AM42" s="220" t="e">
        <f t="shared" si="70"/>
        <v>#VALUE!</v>
      </c>
      <c r="AN42" s="220" t="e">
        <f t="shared" si="71"/>
        <v>#VALUE!</v>
      </c>
      <c r="AO42" s="220" t="e">
        <f t="shared" si="72"/>
        <v>#VALUE!</v>
      </c>
      <c r="AP42" s="221" t="e">
        <f t="shared" si="73"/>
        <v>#VALUE!</v>
      </c>
      <c r="AQ42" s="221" t="e">
        <f t="shared" si="74"/>
        <v>#VALUE!</v>
      </c>
      <c r="AR42" s="222" t="e">
        <f t="shared" si="75"/>
        <v>#VALUE!</v>
      </c>
      <c r="AS42" s="223">
        <f>IF(最早退休日期!$B$2="職員",MAX(IF(ISERROR(DATEVALUE(CONCATENATE(AK42+1911,"/",$AA$1000,"/",$AB$1000))),DATEVALUE(CONCATENATE(AK42+1911,"/",3,"/",1)),DATEVALUE(CONCATENATE(AK42+1911,"/",$AA$1000,"/",$AB$1000))),AR42),DATEVALUE(CONCATENATE(AK42+1911,"/8/1")))</f>
        <v>50253</v>
      </c>
      <c r="AT42" s="224" t="e">
        <f t="shared" si="76"/>
        <v>#VALUE!</v>
      </c>
      <c r="AU42" s="224" t="e">
        <f t="shared" si="77"/>
        <v>#VALUE!</v>
      </c>
      <c r="AV42" s="224" t="e">
        <f t="shared" si="89"/>
        <v>#VALUE!</v>
      </c>
      <c r="AW42" s="224" t="e">
        <f t="shared" si="78"/>
        <v>#VALUE!</v>
      </c>
      <c r="AX42" s="224" t="b">
        <f t="shared" si="79"/>
        <v>1</v>
      </c>
      <c r="AY42" s="224" t="e">
        <f t="shared" si="80"/>
        <v>#VALUE!</v>
      </c>
      <c r="AZ42" s="224" t="b">
        <f t="shared" si="81"/>
        <v>1</v>
      </c>
      <c r="BA42" s="224" t="e">
        <f t="shared" si="90"/>
        <v>#VALUE!</v>
      </c>
      <c r="BB42" s="224" t="e">
        <f t="shared" si="91"/>
        <v>#VALUE!</v>
      </c>
      <c r="BC42" s="224" t="e">
        <f t="shared" si="92"/>
        <v>#VALUE!</v>
      </c>
      <c r="BD42" s="225" t="e">
        <f t="shared" si="82"/>
        <v>#VALUE!</v>
      </c>
      <c r="BE42" s="225" t="e">
        <f t="shared" si="83"/>
        <v>#VALUE!</v>
      </c>
      <c r="BF42" s="225" t="e">
        <f t="shared" si="84"/>
        <v>#VALUE!</v>
      </c>
      <c r="BG42" s="226" t="e">
        <f t="shared" si="85"/>
        <v>#VALUE!</v>
      </c>
      <c r="BH42" s="227" t="e">
        <f t="shared" si="86"/>
        <v>#VALUE!</v>
      </c>
    </row>
    <row r="43" spans="1:60" x14ac:dyDescent="0.25">
      <c r="A43" s="216" t="str">
        <f t="shared" si="36"/>
        <v/>
      </c>
      <c r="B43" s="217" t="str">
        <f t="shared" si="37"/>
        <v/>
      </c>
      <c r="C43" s="217" t="str">
        <f t="shared" si="38"/>
        <v/>
      </c>
      <c r="D43" s="217" t="str">
        <f t="shared" si="39"/>
        <v/>
      </c>
      <c r="E43" s="217" t="str">
        <f t="shared" si="40"/>
        <v/>
      </c>
      <c r="F43" s="217" t="str">
        <f t="shared" si="41"/>
        <v/>
      </c>
      <c r="G43" s="217" t="str">
        <f t="shared" si="42"/>
        <v/>
      </c>
      <c r="H43" s="218" t="str">
        <f t="shared" si="43"/>
        <v/>
      </c>
      <c r="I43" s="219" t="str">
        <f t="shared" si="44"/>
        <v/>
      </c>
      <c r="J43" s="219" t="str">
        <f t="shared" si="45"/>
        <v/>
      </c>
      <c r="K43" s="206" t="str">
        <f t="shared" si="46"/>
        <v/>
      </c>
      <c r="L43" s="272" t="str">
        <f t="shared" si="47"/>
        <v/>
      </c>
      <c r="M43" s="216">
        <f>IF(最早可退休日期!$D$2&lt;&gt;"職員",Y45,IF(AND($AS$3&lt;$AS$2,$AS$4&lt;$AS$2),Y45,IF($AS$3&lt;$AS$2,Y44,Y43)))</f>
        <v>128</v>
      </c>
      <c r="N43" s="217" t="str">
        <f>IF(最早可退休日期!$D$2&lt;&gt;"職員",Z45,IF(AND($AS$3&lt;$AS$2,$AS$4&lt;$AS$2),Z45,IF($AS$3&lt;$AS$2,Z44,Z43)))</f>
        <v>無</v>
      </c>
      <c r="O43" s="217">
        <f>IF(最早可退休日期!$D$2&lt;&gt;"職員",AA45,IF(AND($AS$3&lt;$AS$2,$AS$4&lt;$AS$2),AA45,IF($AS$3&lt;$AS$2,AA44,AA43)))</f>
        <v>58</v>
      </c>
      <c r="P43" s="217">
        <f>IF(最早可退休日期!$D$2&lt;&gt;"職員",AB45,IF(AND($AS$3&lt;$AS$2,$AS$4&lt;$AS$2),AB45,IF($AS$3&lt;$AS$2,AB44,AB43)))</f>
        <v>55</v>
      </c>
      <c r="Q43" s="217">
        <f>IF(最早可退休日期!$D$2&lt;&gt;"職員",AC45,IF(AND($AS$3&lt;$AS$2,$AS$4&lt;$AS$2),AC45,IF($AS$3&lt;$AS$2,AC44,AC43)))</f>
        <v>128</v>
      </c>
      <c r="R43" s="217" t="e">
        <f>IF(最早可退休日期!$D$2&lt;&gt;"職員",AD45,IF(AND($AS$3&lt;$AS$2,$AS$4&lt;$AS$2),AD45,IF($AS$3&lt;$AS$2,AD44,AD43)))</f>
        <v>#VALUE!</v>
      </c>
      <c r="S43" s="217" t="e">
        <f>IF(最早可退休日期!$D$2&lt;&gt;"職員",AE45,IF(AND($AS$3&lt;$AS$2,$AS$4&lt;$AS$2),AE45,IF($AS$3&lt;$AS$2,AE44,AE43)))</f>
        <v>#VALUE!</v>
      </c>
      <c r="T43" s="218" t="str">
        <f>IF(最早可退休日期!$D$2&lt;&gt;"職員",AF45,IF(AND($AS$3&lt;$AS$2,$AS$4&lt;$AS$2),AF45,IF($AS$3&lt;$AS$2,AF44,AF43)))</f>
        <v>128年2月1日</v>
      </c>
      <c r="U43" s="219" t="e">
        <f>IF(最早可退休日期!$D$2&lt;&gt;"職員",AG45,IF(AND($AS$3&lt;$AS$2,$AS$4&lt;$AS$2),AG45,IF($AS$3&lt;$AS$2,AG44,AG43)))</f>
        <v>#VALUE!</v>
      </c>
      <c r="V43" s="219" t="e">
        <f>IF(最早可退休日期!$D$2&lt;&gt;"職員",AH45,IF(AND($AS$3&lt;$AS$2,$AS$4&lt;$AS$2),AH45,IF($AS$3&lt;$AS$2,AH44,AH43)))</f>
        <v>#VALUE!</v>
      </c>
      <c r="W43" s="206" t="e">
        <f>IF(最早可退休日期!$D$2&lt;&gt;"職員",AI45,IF(AND($AS$3&lt;$AS$2,$AS$4&lt;$AS$2),AI45,IF($AS$3&lt;$AS$2,AI44,AI43)))</f>
        <v>#VALUE!</v>
      </c>
      <c r="X43" s="207" t="e">
        <f>IF(最早可退休日期!$D$2&lt;&gt;"職員",AJ45,IF(AND($AS$3&lt;$AS$2,$AS$4&lt;$AS$2),AJ45,IF($AS$3&lt;$AS$2,AJ44,AJ43)))</f>
        <v>#VALUE!</v>
      </c>
      <c r="Y43" s="217">
        <f t="shared" si="61"/>
        <v>127</v>
      </c>
      <c r="Z43" s="217" t="str">
        <f t="shared" si="31"/>
        <v>無</v>
      </c>
      <c r="AA43" s="217">
        <f>IF(最早退休日期!$B$1="中等以下教師",58,IF(Y43&gt;=122,65,IF(Y43&lt;107,50,VLOOKUP(Y43,Legal_Year,3,0))))</f>
        <v>58</v>
      </c>
      <c r="AB43" s="217">
        <f t="shared" si="87"/>
        <v>55</v>
      </c>
      <c r="AC43" s="217">
        <f t="shared" si="62"/>
        <v>127</v>
      </c>
      <c r="AD43" s="217" t="e">
        <f t="shared" si="63"/>
        <v>#VALUE!</v>
      </c>
      <c r="AE43" s="217" t="e">
        <f t="shared" si="88"/>
        <v>#VALUE!</v>
      </c>
      <c r="AF43" s="227" t="str">
        <f t="shared" si="64"/>
        <v>127年2月1日</v>
      </c>
      <c r="AG43" s="219" t="e">
        <f t="shared" si="65"/>
        <v>#VALUE!</v>
      </c>
      <c r="AH43" s="219" t="e">
        <f t="shared" si="66"/>
        <v>#VALUE!</v>
      </c>
      <c r="AI43" s="206" t="e">
        <f t="shared" si="67"/>
        <v>#VALUE!</v>
      </c>
      <c r="AJ43" s="207" t="e">
        <f t="shared" si="68"/>
        <v>#VALUE!</v>
      </c>
      <c r="AK43" s="217">
        <f t="shared" si="48"/>
        <v>127</v>
      </c>
      <c r="AL43" s="217" t="e">
        <f t="shared" si="69"/>
        <v>#VALUE!</v>
      </c>
      <c r="AM43" s="220" t="e">
        <f t="shared" si="70"/>
        <v>#VALUE!</v>
      </c>
      <c r="AN43" s="220" t="e">
        <f t="shared" si="71"/>
        <v>#VALUE!</v>
      </c>
      <c r="AO43" s="220" t="e">
        <f t="shared" si="72"/>
        <v>#VALUE!</v>
      </c>
      <c r="AP43" s="221" t="e">
        <f t="shared" si="73"/>
        <v>#VALUE!</v>
      </c>
      <c r="AQ43" s="221" t="e">
        <f t="shared" si="74"/>
        <v>#VALUE!</v>
      </c>
      <c r="AR43" s="222" t="e">
        <f t="shared" si="75"/>
        <v>#VALUE!</v>
      </c>
      <c r="AS43" s="223">
        <f>IF(最早退休日期!$B$2="職員",MIN(IF(ISERROR(DATEVALUE(CONCATENATE(AK43+1911,"/",$AA$1000,"/",$AB$1000))),DATEVALUE(CONCATENATE(AK43+1911,"/",3,"/",1)),DATEVALUE(CONCATENATE(AK43+1911,"/",$AA$1000,"/",$AB$1000))),AR43),DATEVALUE(CONCATENATE(AK43+1911,"/2/1")))</f>
        <v>50437</v>
      </c>
      <c r="AT43" s="224" t="e">
        <f t="shared" si="76"/>
        <v>#VALUE!</v>
      </c>
      <c r="AU43" s="224" t="e">
        <f t="shared" si="77"/>
        <v>#VALUE!</v>
      </c>
      <c r="AV43" s="224" t="e">
        <f t="shared" si="89"/>
        <v>#VALUE!</v>
      </c>
      <c r="AW43" s="224" t="e">
        <f t="shared" si="78"/>
        <v>#VALUE!</v>
      </c>
      <c r="AX43" s="224" t="b">
        <f t="shared" si="79"/>
        <v>1</v>
      </c>
      <c r="AY43" s="224" t="e">
        <f t="shared" si="80"/>
        <v>#VALUE!</v>
      </c>
      <c r="AZ43" s="224" t="b">
        <f t="shared" si="81"/>
        <v>1</v>
      </c>
      <c r="BA43" s="224" t="e">
        <f t="shared" si="90"/>
        <v>#VALUE!</v>
      </c>
      <c r="BB43" s="224" t="e">
        <f t="shared" si="91"/>
        <v>#VALUE!</v>
      </c>
      <c r="BC43" s="224" t="e">
        <f t="shared" si="92"/>
        <v>#VALUE!</v>
      </c>
      <c r="BD43" s="225" t="e">
        <f t="shared" si="82"/>
        <v>#VALUE!</v>
      </c>
      <c r="BE43" s="225" t="e">
        <f t="shared" si="83"/>
        <v>#VALUE!</v>
      </c>
      <c r="BF43" s="225" t="e">
        <f t="shared" si="84"/>
        <v>#VALUE!</v>
      </c>
      <c r="BG43" s="226" t="e">
        <f t="shared" si="85"/>
        <v>#VALUE!</v>
      </c>
      <c r="BH43" s="227" t="e">
        <f t="shared" si="86"/>
        <v>#VALUE!</v>
      </c>
    </row>
    <row r="44" spans="1:60" x14ac:dyDescent="0.25">
      <c r="A44" s="216" t="str">
        <f t="shared" si="36"/>
        <v/>
      </c>
      <c r="B44" s="217" t="str">
        <f t="shared" si="37"/>
        <v/>
      </c>
      <c r="C44" s="217" t="str">
        <f t="shared" si="38"/>
        <v/>
      </c>
      <c r="D44" s="217" t="str">
        <f t="shared" si="39"/>
        <v/>
      </c>
      <c r="E44" s="217" t="str">
        <f t="shared" si="40"/>
        <v/>
      </c>
      <c r="F44" s="217" t="str">
        <f t="shared" si="41"/>
        <v/>
      </c>
      <c r="G44" s="217" t="str">
        <f t="shared" si="42"/>
        <v/>
      </c>
      <c r="H44" s="218" t="str">
        <f t="shared" si="43"/>
        <v/>
      </c>
      <c r="I44" s="219" t="str">
        <f t="shared" si="44"/>
        <v/>
      </c>
      <c r="J44" s="219" t="str">
        <f t="shared" si="45"/>
        <v/>
      </c>
      <c r="K44" s="206" t="str">
        <f t="shared" si="46"/>
        <v/>
      </c>
      <c r="L44" s="272" t="str">
        <f t="shared" si="47"/>
        <v/>
      </c>
      <c r="M44" s="216">
        <f>IF(最早可退休日期!$D$2&lt;&gt;"職員",Y46,IF(AND($AS$3&lt;$AS$2,$AS$4&lt;$AS$2),Y46,IF($AS$3&lt;$AS$2,Y45,Y44)))</f>
        <v>128</v>
      </c>
      <c r="N44" s="217" t="str">
        <f>IF(最早可退休日期!$D$2&lt;&gt;"職員",Z46,IF(AND($AS$3&lt;$AS$2,$AS$4&lt;$AS$2),Z46,IF($AS$3&lt;$AS$2,Z45,Z44)))</f>
        <v>無</v>
      </c>
      <c r="O44" s="217">
        <f>IF(最早可退休日期!$D$2&lt;&gt;"職員",AA46,IF(AND($AS$3&lt;$AS$2,$AS$4&lt;$AS$2),AA46,IF($AS$3&lt;$AS$2,AA45,AA44)))</f>
        <v>58</v>
      </c>
      <c r="P44" s="217">
        <f>IF(最早可退休日期!$D$2&lt;&gt;"職員",AB46,IF(AND($AS$3&lt;$AS$2,$AS$4&lt;$AS$2),AB46,IF($AS$3&lt;$AS$2,AB45,AB44)))</f>
        <v>55</v>
      </c>
      <c r="Q44" s="217">
        <f>IF(最早可退休日期!$D$2&lt;&gt;"職員",AC46,IF(AND($AS$3&lt;$AS$2,$AS$4&lt;$AS$2),AC46,IF($AS$3&lt;$AS$2,AC45,AC44)))</f>
        <v>128</v>
      </c>
      <c r="R44" s="217" t="e">
        <f>IF(最早可退休日期!$D$2&lt;&gt;"職員",AD46,IF(AND($AS$3&lt;$AS$2,$AS$4&lt;$AS$2),AD46,IF($AS$3&lt;$AS$2,AD45,AD44)))</f>
        <v>#VALUE!</v>
      </c>
      <c r="S44" s="217" t="e">
        <f>IF(最早可退休日期!$D$2&lt;&gt;"職員",AE46,IF(AND($AS$3&lt;$AS$2,$AS$4&lt;$AS$2),AE46,IF($AS$3&lt;$AS$2,AE45,AE44)))</f>
        <v>#VALUE!</v>
      </c>
      <c r="T44" s="218" t="str">
        <f>IF(最早可退休日期!$D$2&lt;&gt;"職員",AF46,IF(AND($AS$3&lt;$AS$2,$AS$4&lt;$AS$2),AF46,IF($AS$3&lt;$AS$2,AF45,AF44)))</f>
        <v>128年8月1日</v>
      </c>
      <c r="U44" s="219" t="e">
        <f>IF(最早可退休日期!$D$2&lt;&gt;"職員",AG46,IF(AND($AS$3&lt;$AS$2,$AS$4&lt;$AS$2),AG46,IF($AS$3&lt;$AS$2,AG45,AG44)))</f>
        <v>#VALUE!</v>
      </c>
      <c r="V44" s="219" t="e">
        <f>IF(最早可退休日期!$D$2&lt;&gt;"職員",AH46,IF(AND($AS$3&lt;$AS$2,$AS$4&lt;$AS$2),AH46,IF($AS$3&lt;$AS$2,AH45,AH44)))</f>
        <v>#VALUE!</v>
      </c>
      <c r="W44" s="206" t="e">
        <f>IF(最早可退休日期!$D$2&lt;&gt;"職員",AI46,IF(AND($AS$3&lt;$AS$2,$AS$4&lt;$AS$2),AI46,IF($AS$3&lt;$AS$2,AI45,AI44)))</f>
        <v>#VALUE!</v>
      </c>
      <c r="X44" s="207" t="e">
        <f>IF(最早可退休日期!$D$2&lt;&gt;"職員",AJ46,IF(AND($AS$3&lt;$AS$2,$AS$4&lt;$AS$2),AJ46,IF($AS$3&lt;$AS$2,AJ45,AJ44)))</f>
        <v>#VALUE!</v>
      </c>
      <c r="Y44" s="217">
        <f t="shared" si="61"/>
        <v>127</v>
      </c>
      <c r="Z44" s="217" t="str">
        <f t="shared" si="31"/>
        <v>無</v>
      </c>
      <c r="AA44" s="217">
        <f>IF(最早退休日期!$B$1="中等以下教師",58,IF(Y44&gt;=122,65,IF(Y44&lt;107,50,VLOOKUP(Y44,Legal_Year,3,0))))</f>
        <v>58</v>
      </c>
      <c r="AB44" s="217">
        <f t="shared" si="87"/>
        <v>55</v>
      </c>
      <c r="AC44" s="217">
        <f t="shared" si="62"/>
        <v>127</v>
      </c>
      <c r="AD44" s="217" t="e">
        <f t="shared" si="63"/>
        <v>#VALUE!</v>
      </c>
      <c r="AE44" s="217" t="e">
        <f t="shared" si="88"/>
        <v>#VALUE!</v>
      </c>
      <c r="AF44" s="227" t="str">
        <f t="shared" si="64"/>
        <v>127年8月1日</v>
      </c>
      <c r="AG44" s="219" t="e">
        <f t="shared" si="65"/>
        <v>#VALUE!</v>
      </c>
      <c r="AH44" s="219" t="e">
        <f t="shared" si="66"/>
        <v>#VALUE!</v>
      </c>
      <c r="AI44" s="206" t="e">
        <f t="shared" si="67"/>
        <v>#VALUE!</v>
      </c>
      <c r="AJ44" s="207" t="e">
        <f t="shared" si="68"/>
        <v>#VALUE!</v>
      </c>
      <c r="AK44" s="217">
        <f t="shared" si="48"/>
        <v>127</v>
      </c>
      <c r="AL44" s="217" t="e">
        <f t="shared" si="69"/>
        <v>#VALUE!</v>
      </c>
      <c r="AM44" s="220" t="e">
        <f t="shared" si="70"/>
        <v>#VALUE!</v>
      </c>
      <c r="AN44" s="220" t="e">
        <f t="shared" si="71"/>
        <v>#VALUE!</v>
      </c>
      <c r="AO44" s="220" t="e">
        <f t="shared" si="72"/>
        <v>#VALUE!</v>
      </c>
      <c r="AP44" s="221" t="e">
        <f t="shared" si="73"/>
        <v>#VALUE!</v>
      </c>
      <c r="AQ44" s="221" t="e">
        <f t="shared" si="74"/>
        <v>#VALUE!</v>
      </c>
      <c r="AR44" s="222" t="e">
        <f t="shared" si="75"/>
        <v>#VALUE!</v>
      </c>
      <c r="AS44" s="223">
        <f>IF(最早退休日期!$B$2="職員",MAX(IF(ISERROR(DATEVALUE(CONCATENATE(AK44+1911,"/",$AA$1000,"/",$AB$1000))),DATEVALUE(CONCATENATE(AK44+1911,"/",3,"/",1)),DATEVALUE(CONCATENATE(AK44+1911,"/",$AA$1000,"/",$AB$1000))),AR44),DATEVALUE(CONCATENATE(AK44+1911,"/8/1")))</f>
        <v>50618</v>
      </c>
      <c r="AT44" s="224" t="e">
        <f t="shared" si="76"/>
        <v>#VALUE!</v>
      </c>
      <c r="AU44" s="224" t="e">
        <f t="shared" si="77"/>
        <v>#VALUE!</v>
      </c>
      <c r="AV44" s="224" t="e">
        <f t="shared" si="89"/>
        <v>#VALUE!</v>
      </c>
      <c r="AW44" s="224" t="e">
        <f t="shared" si="78"/>
        <v>#VALUE!</v>
      </c>
      <c r="AX44" s="224" t="b">
        <f t="shared" si="79"/>
        <v>1</v>
      </c>
      <c r="AY44" s="224" t="e">
        <f t="shared" si="80"/>
        <v>#VALUE!</v>
      </c>
      <c r="AZ44" s="224" t="b">
        <f t="shared" si="81"/>
        <v>1</v>
      </c>
      <c r="BA44" s="224" t="e">
        <f t="shared" si="90"/>
        <v>#VALUE!</v>
      </c>
      <c r="BB44" s="224" t="e">
        <f t="shared" si="91"/>
        <v>#VALUE!</v>
      </c>
      <c r="BC44" s="224" t="e">
        <f t="shared" si="92"/>
        <v>#VALUE!</v>
      </c>
      <c r="BD44" s="225" t="e">
        <f t="shared" si="82"/>
        <v>#VALUE!</v>
      </c>
      <c r="BE44" s="225" t="e">
        <f t="shared" si="83"/>
        <v>#VALUE!</v>
      </c>
      <c r="BF44" s="225" t="e">
        <f t="shared" si="84"/>
        <v>#VALUE!</v>
      </c>
      <c r="BG44" s="226" t="e">
        <f t="shared" si="85"/>
        <v>#VALUE!</v>
      </c>
      <c r="BH44" s="227" t="e">
        <f t="shared" si="86"/>
        <v>#VALUE!</v>
      </c>
    </row>
    <row r="45" spans="1:60" x14ac:dyDescent="0.25">
      <c r="A45" s="216" t="str">
        <f t="shared" si="36"/>
        <v/>
      </c>
      <c r="B45" s="217" t="str">
        <f t="shared" si="37"/>
        <v/>
      </c>
      <c r="C45" s="217" t="str">
        <f t="shared" si="38"/>
        <v/>
      </c>
      <c r="D45" s="217" t="str">
        <f t="shared" si="39"/>
        <v/>
      </c>
      <c r="E45" s="217" t="str">
        <f t="shared" si="40"/>
        <v/>
      </c>
      <c r="F45" s="217" t="str">
        <f t="shared" si="41"/>
        <v/>
      </c>
      <c r="G45" s="217" t="str">
        <f t="shared" si="42"/>
        <v/>
      </c>
      <c r="H45" s="218" t="str">
        <f t="shared" si="43"/>
        <v/>
      </c>
      <c r="I45" s="219" t="str">
        <f t="shared" si="44"/>
        <v/>
      </c>
      <c r="J45" s="219" t="str">
        <f t="shared" si="45"/>
        <v/>
      </c>
      <c r="K45" s="206" t="str">
        <f t="shared" si="46"/>
        <v/>
      </c>
      <c r="L45" s="272" t="str">
        <f t="shared" si="47"/>
        <v/>
      </c>
      <c r="M45" s="216">
        <f>IF(最早可退休日期!$D$2&lt;&gt;"職員",Y47,IF(AND($AS$3&lt;$AS$2,$AS$4&lt;$AS$2),Y47,IF($AS$3&lt;$AS$2,Y46,Y45)))</f>
        <v>129</v>
      </c>
      <c r="N45" s="217" t="str">
        <f>IF(最早可退休日期!$D$2&lt;&gt;"職員",Z47,IF(AND($AS$3&lt;$AS$2,$AS$4&lt;$AS$2),Z47,IF($AS$3&lt;$AS$2,Z46,Z45)))</f>
        <v>無</v>
      </c>
      <c r="O45" s="217">
        <f>IF(最早可退休日期!$D$2&lt;&gt;"職員",AA47,IF(AND($AS$3&lt;$AS$2,$AS$4&lt;$AS$2),AA47,IF($AS$3&lt;$AS$2,AA46,AA45)))</f>
        <v>58</v>
      </c>
      <c r="P45" s="217">
        <f>IF(最早可退休日期!$D$2&lt;&gt;"職員",AB47,IF(AND($AS$3&lt;$AS$2,$AS$4&lt;$AS$2),AB47,IF($AS$3&lt;$AS$2,AB46,AB45)))</f>
        <v>55</v>
      </c>
      <c r="Q45" s="217">
        <f>IF(最早可退休日期!$D$2&lt;&gt;"職員",AC47,IF(AND($AS$3&lt;$AS$2,$AS$4&lt;$AS$2),AC47,IF($AS$3&lt;$AS$2,AC46,AC45)))</f>
        <v>129</v>
      </c>
      <c r="R45" s="217" t="e">
        <f>IF(最早可退休日期!$D$2&lt;&gt;"職員",AD47,IF(AND($AS$3&lt;$AS$2,$AS$4&lt;$AS$2),AD47,IF($AS$3&lt;$AS$2,AD46,AD45)))</f>
        <v>#VALUE!</v>
      </c>
      <c r="S45" s="217" t="e">
        <f>IF(最早可退休日期!$D$2&lt;&gt;"職員",AE47,IF(AND($AS$3&lt;$AS$2,$AS$4&lt;$AS$2),AE47,IF($AS$3&lt;$AS$2,AE46,AE45)))</f>
        <v>#VALUE!</v>
      </c>
      <c r="T45" s="218" t="str">
        <f>IF(最早可退休日期!$D$2&lt;&gt;"職員",AF47,IF(AND($AS$3&lt;$AS$2,$AS$4&lt;$AS$2),AF47,IF($AS$3&lt;$AS$2,AF46,AF45)))</f>
        <v>129年2月1日</v>
      </c>
      <c r="U45" s="219" t="e">
        <f>IF(最早可退休日期!$D$2&lt;&gt;"職員",AG47,IF(AND($AS$3&lt;$AS$2,$AS$4&lt;$AS$2),AG47,IF($AS$3&lt;$AS$2,AG46,AG45)))</f>
        <v>#VALUE!</v>
      </c>
      <c r="V45" s="219" t="e">
        <f>IF(最早可退休日期!$D$2&lt;&gt;"職員",AH47,IF(AND($AS$3&lt;$AS$2,$AS$4&lt;$AS$2),AH47,IF($AS$3&lt;$AS$2,AH46,AH45)))</f>
        <v>#VALUE!</v>
      </c>
      <c r="W45" s="206" t="e">
        <f>IF(最早可退休日期!$D$2&lt;&gt;"職員",AI47,IF(AND($AS$3&lt;$AS$2,$AS$4&lt;$AS$2),AI47,IF($AS$3&lt;$AS$2,AI46,AI45)))</f>
        <v>#VALUE!</v>
      </c>
      <c r="X45" s="207" t="e">
        <f>IF(最早可退休日期!$D$2&lt;&gt;"職員",AJ47,IF(AND($AS$3&lt;$AS$2,$AS$4&lt;$AS$2),AJ47,IF($AS$3&lt;$AS$2,AJ46,AJ45)))</f>
        <v>#VALUE!</v>
      </c>
      <c r="Y45" s="217">
        <f t="shared" si="61"/>
        <v>128</v>
      </c>
      <c r="Z45" s="217" t="str">
        <f t="shared" si="31"/>
        <v>無</v>
      </c>
      <c r="AA45" s="217">
        <f>IF(最早退休日期!$B$1="中等以下教師",58,IF(Y45&gt;=122,65,IF(Y45&lt;107,50,VLOOKUP(Y45,Legal_Year,3,0))))</f>
        <v>58</v>
      </c>
      <c r="AB45" s="217">
        <f t="shared" si="87"/>
        <v>55</v>
      </c>
      <c r="AC45" s="217">
        <f t="shared" si="62"/>
        <v>128</v>
      </c>
      <c r="AD45" s="217" t="e">
        <f t="shared" si="63"/>
        <v>#VALUE!</v>
      </c>
      <c r="AE45" s="217" t="e">
        <f t="shared" si="88"/>
        <v>#VALUE!</v>
      </c>
      <c r="AF45" s="227" t="str">
        <f t="shared" si="64"/>
        <v>128年2月1日</v>
      </c>
      <c r="AG45" s="219" t="e">
        <f t="shared" si="65"/>
        <v>#VALUE!</v>
      </c>
      <c r="AH45" s="219" t="e">
        <f t="shared" si="66"/>
        <v>#VALUE!</v>
      </c>
      <c r="AI45" s="206" t="e">
        <f t="shared" si="67"/>
        <v>#VALUE!</v>
      </c>
      <c r="AJ45" s="207" t="e">
        <f t="shared" si="68"/>
        <v>#VALUE!</v>
      </c>
      <c r="AK45" s="217">
        <f t="shared" si="48"/>
        <v>128</v>
      </c>
      <c r="AL45" s="217" t="e">
        <f t="shared" si="69"/>
        <v>#VALUE!</v>
      </c>
      <c r="AM45" s="220" t="e">
        <f t="shared" si="70"/>
        <v>#VALUE!</v>
      </c>
      <c r="AN45" s="220" t="e">
        <f t="shared" si="71"/>
        <v>#VALUE!</v>
      </c>
      <c r="AO45" s="220" t="e">
        <f t="shared" si="72"/>
        <v>#VALUE!</v>
      </c>
      <c r="AP45" s="221" t="e">
        <f t="shared" si="73"/>
        <v>#VALUE!</v>
      </c>
      <c r="AQ45" s="221" t="e">
        <f t="shared" si="74"/>
        <v>#VALUE!</v>
      </c>
      <c r="AR45" s="222" t="e">
        <f t="shared" si="75"/>
        <v>#VALUE!</v>
      </c>
      <c r="AS45" s="223">
        <f>IF(最早退休日期!$B$2="職員",MIN(IF(ISERROR(DATEVALUE(CONCATENATE(AK45+1911,"/",$AA$1000,"/",$AB$1000))),DATEVALUE(CONCATENATE(AK45+1911,"/",3,"/",1)),DATEVALUE(CONCATENATE(AK45+1911,"/",$AA$1000,"/",$AB$1000))),AR45),DATEVALUE(CONCATENATE(AK45+1911,"/2/1")))</f>
        <v>50802</v>
      </c>
      <c r="AT45" s="224" t="e">
        <f t="shared" si="76"/>
        <v>#VALUE!</v>
      </c>
      <c r="AU45" s="224" t="e">
        <f t="shared" si="77"/>
        <v>#VALUE!</v>
      </c>
      <c r="AV45" s="224" t="e">
        <f t="shared" si="89"/>
        <v>#VALUE!</v>
      </c>
      <c r="AW45" s="224" t="e">
        <f t="shared" si="78"/>
        <v>#VALUE!</v>
      </c>
      <c r="AX45" s="224" t="b">
        <f t="shared" si="79"/>
        <v>1</v>
      </c>
      <c r="AY45" s="224" t="e">
        <f t="shared" si="80"/>
        <v>#VALUE!</v>
      </c>
      <c r="AZ45" s="224" t="b">
        <f t="shared" si="81"/>
        <v>1</v>
      </c>
      <c r="BA45" s="224" t="e">
        <f t="shared" si="90"/>
        <v>#VALUE!</v>
      </c>
      <c r="BB45" s="224" t="e">
        <f t="shared" si="91"/>
        <v>#VALUE!</v>
      </c>
      <c r="BC45" s="224" t="e">
        <f t="shared" si="92"/>
        <v>#VALUE!</v>
      </c>
      <c r="BD45" s="225" t="e">
        <f t="shared" si="82"/>
        <v>#VALUE!</v>
      </c>
      <c r="BE45" s="225" t="e">
        <f t="shared" si="83"/>
        <v>#VALUE!</v>
      </c>
      <c r="BF45" s="225" t="e">
        <f t="shared" si="84"/>
        <v>#VALUE!</v>
      </c>
      <c r="BG45" s="226" t="e">
        <f t="shared" si="85"/>
        <v>#VALUE!</v>
      </c>
      <c r="BH45" s="227" t="e">
        <f t="shared" si="86"/>
        <v>#VALUE!</v>
      </c>
    </row>
    <row r="46" spans="1:60" x14ac:dyDescent="0.25">
      <c r="A46" s="216" t="str">
        <f t="shared" si="36"/>
        <v/>
      </c>
      <c r="B46" s="217" t="str">
        <f t="shared" si="37"/>
        <v/>
      </c>
      <c r="C46" s="217" t="str">
        <f t="shared" si="38"/>
        <v/>
      </c>
      <c r="D46" s="217" t="str">
        <f t="shared" si="39"/>
        <v/>
      </c>
      <c r="E46" s="217" t="str">
        <f t="shared" si="40"/>
        <v/>
      </c>
      <c r="F46" s="217" t="str">
        <f t="shared" si="41"/>
        <v/>
      </c>
      <c r="G46" s="217" t="str">
        <f t="shared" si="42"/>
        <v/>
      </c>
      <c r="H46" s="218" t="str">
        <f t="shared" si="43"/>
        <v/>
      </c>
      <c r="I46" s="219" t="str">
        <f t="shared" si="44"/>
        <v/>
      </c>
      <c r="J46" s="219" t="str">
        <f t="shared" si="45"/>
        <v/>
      </c>
      <c r="K46" s="206" t="str">
        <f t="shared" si="46"/>
        <v/>
      </c>
      <c r="L46" s="272" t="str">
        <f t="shared" si="47"/>
        <v/>
      </c>
      <c r="M46" s="216">
        <f>IF(最早可退休日期!$D$2&lt;&gt;"職員",Y48,IF(AND($AS$3&lt;$AS$2,$AS$4&lt;$AS$2),Y48,IF($AS$3&lt;$AS$2,Y47,Y46)))</f>
        <v>129</v>
      </c>
      <c r="N46" s="217" t="str">
        <f>IF(最早可退休日期!$D$2&lt;&gt;"職員",Z48,IF(AND($AS$3&lt;$AS$2,$AS$4&lt;$AS$2),Z48,IF($AS$3&lt;$AS$2,Z47,Z46)))</f>
        <v>無</v>
      </c>
      <c r="O46" s="217">
        <f>IF(最早可退休日期!$D$2&lt;&gt;"職員",AA48,IF(AND($AS$3&lt;$AS$2,$AS$4&lt;$AS$2),AA48,IF($AS$3&lt;$AS$2,AA47,AA46)))</f>
        <v>58</v>
      </c>
      <c r="P46" s="217">
        <f>IF(最早可退休日期!$D$2&lt;&gt;"職員",AB48,IF(AND($AS$3&lt;$AS$2,$AS$4&lt;$AS$2),AB48,IF($AS$3&lt;$AS$2,AB47,AB46)))</f>
        <v>55</v>
      </c>
      <c r="Q46" s="217">
        <f>IF(最早可退休日期!$D$2&lt;&gt;"職員",AC48,IF(AND($AS$3&lt;$AS$2,$AS$4&lt;$AS$2),AC48,IF($AS$3&lt;$AS$2,AC47,AC46)))</f>
        <v>129</v>
      </c>
      <c r="R46" s="217" t="e">
        <f>IF(最早可退休日期!$D$2&lt;&gt;"職員",AD48,IF(AND($AS$3&lt;$AS$2,$AS$4&lt;$AS$2),AD48,IF($AS$3&lt;$AS$2,AD47,AD46)))</f>
        <v>#VALUE!</v>
      </c>
      <c r="S46" s="217" t="e">
        <f>IF(最早可退休日期!$D$2&lt;&gt;"職員",AE48,IF(AND($AS$3&lt;$AS$2,$AS$4&lt;$AS$2),AE48,IF($AS$3&lt;$AS$2,AE47,AE46)))</f>
        <v>#VALUE!</v>
      </c>
      <c r="T46" s="218" t="str">
        <f>IF(最早可退休日期!$D$2&lt;&gt;"職員",AF48,IF(AND($AS$3&lt;$AS$2,$AS$4&lt;$AS$2),AF48,IF($AS$3&lt;$AS$2,AF47,AF46)))</f>
        <v>129年8月1日</v>
      </c>
      <c r="U46" s="219" t="e">
        <f>IF(最早可退休日期!$D$2&lt;&gt;"職員",AG48,IF(AND($AS$3&lt;$AS$2,$AS$4&lt;$AS$2),AG48,IF($AS$3&lt;$AS$2,AG47,AG46)))</f>
        <v>#VALUE!</v>
      </c>
      <c r="V46" s="219" t="e">
        <f>IF(最早可退休日期!$D$2&lt;&gt;"職員",AH48,IF(AND($AS$3&lt;$AS$2,$AS$4&lt;$AS$2),AH48,IF($AS$3&lt;$AS$2,AH47,AH46)))</f>
        <v>#VALUE!</v>
      </c>
      <c r="W46" s="206" t="e">
        <f>IF(最早可退休日期!$D$2&lt;&gt;"職員",AI48,IF(AND($AS$3&lt;$AS$2,$AS$4&lt;$AS$2),AI48,IF($AS$3&lt;$AS$2,AI47,AI46)))</f>
        <v>#VALUE!</v>
      </c>
      <c r="X46" s="207" t="e">
        <f>IF(最早可退休日期!$D$2&lt;&gt;"職員",AJ48,IF(AND($AS$3&lt;$AS$2,$AS$4&lt;$AS$2),AJ48,IF($AS$3&lt;$AS$2,AJ47,AJ46)))</f>
        <v>#VALUE!</v>
      </c>
      <c r="Y46" s="217">
        <f t="shared" si="61"/>
        <v>128</v>
      </c>
      <c r="Z46" s="217" t="str">
        <f t="shared" si="31"/>
        <v>無</v>
      </c>
      <c r="AA46" s="217">
        <f>IF(最早退休日期!$B$1="中等以下教師",58,IF(Y46&gt;=122,65,IF(Y46&lt;107,50,VLOOKUP(Y46,Legal_Year,3,0))))</f>
        <v>58</v>
      </c>
      <c r="AB46" s="217">
        <f t="shared" si="87"/>
        <v>55</v>
      </c>
      <c r="AC46" s="217">
        <f t="shared" si="62"/>
        <v>128</v>
      </c>
      <c r="AD46" s="217" t="e">
        <f t="shared" si="63"/>
        <v>#VALUE!</v>
      </c>
      <c r="AE46" s="217" t="e">
        <f t="shared" si="88"/>
        <v>#VALUE!</v>
      </c>
      <c r="AF46" s="227" t="str">
        <f t="shared" si="64"/>
        <v>128年8月1日</v>
      </c>
      <c r="AG46" s="219" t="e">
        <f t="shared" si="65"/>
        <v>#VALUE!</v>
      </c>
      <c r="AH46" s="219" t="e">
        <f t="shared" si="66"/>
        <v>#VALUE!</v>
      </c>
      <c r="AI46" s="206" t="e">
        <f t="shared" si="67"/>
        <v>#VALUE!</v>
      </c>
      <c r="AJ46" s="207" t="e">
        <f t="shared" si="68"/>
        <v>#VALUE!</v>
      </c>
      <c r="AK46" s="217">
        <f t="shared" si="48"/>
        <v>128</v>
      </c>
      <c r="AL46" s="217" t="e">
        <f t="shared" si="69"/>
        <v>#VALUE!</v>
      </c>
      <c r="AM46" s="220" t="e">
        <f t="shared" si="70"/>
        <v>#VALUE!</v>
      </c>
      <c r="AN46" s="220" t="e">
        <f t="shared" si="71"/>
        <v>#VALUE!</v>
      </c>
      <c r="AO46" s="220" t="e">
        <f t="shared" si="72"/>
        <v>#VALUE!</v>
      </c>
      <c r="AP46" s="221" t="e">
        <f t="shared" si="73"/>
        <v>#VALUE!</v>
      </c>
      <c r="AQ46" s="221" t="e">
        <f t="shared" si="74"/>
        <v>#VALUE!</v>
      </c>
      <c r="AR46" s="222" t="e">
        <f t="shared" si="75"/>
        <v>#VALUE!</v>
      </c>
      <c r="AS46" s="223">
        <f>IF(最早退休日期!$B$2="職員",MAX(IF(ISERROR(DATEVALUE(CONCATENATE(AK46+1911,"/",$AA$1000,"/",$AB$1000))),DATEVALUE(CONCATENATE(AK46+1911,"/",3,"/",1)),DATEVALUE(CONCATENATE(AK46+1911,"/",$AA$1000,"/",$AB$1000))),AR46),DATEVALUE(CONCATENATE(AK46+1911,"/8/1")))</f>
        <v>50983</v>
      </c>
      <c r="AT46" s="224" t="e">
        <f t="shared" si="76"/>
        <v>#VALUE!</v>
      </c>
      <c r="AU46" s="224" t="e">
        <f t="shared" si="77"/>
        <v>#VALUE!</v>
      </c>
      <c r="AV46" s="224" t="e">
        <f t="shared" si="89"/>
        <v>#VALUE!</v>
      </c>
      <c r="AW46" s="224" t="e">
        <f t="shared" si="78"/>
        <v>#VALUE!</v>
      </c>
      <c r="AX46" s="224" t="b">
        <f t="shared" si="79"/>
        <v>1</v>
      </c>
      <c r="AY46" s="224" t="e">
        <f t="shared" si="80"/>
        <v>#VALUE!</v>
      </c>
      <c r="AZ46" s="224" t="b">
        <f t="shared" si="81"/>
        <v>1</v>
      </c>
      <c r="BA46" s="224" t="e">
        <f t="shared" si="90"/>
        <v>#VALUE!</v>
      </c>
      <c r="BB46" s="224" t="e">
        <f t="shared" si="91"/>
        <v>#VALUE!</v>
      </c>
      <c r="BC46" s="224" t="e">
        <f t="shared" si="92"/>
        <v>#VALUE!</v>
      </c>
      <c r="BD46" s="225" t="e">
        <f t="shared" si="82"/>
        <v>#VALUE!</v>
      </c>
      <c r="BE46" s="225" t="e">
        <f t="shared" si="83"/>
        <v>#VALUE!</v>
      </c>
      <c r="BF46" s="225" t="e">
        <f t="shared" si="84"/>
        <v>#VALUE!</v>
      </c>
      <c r="BG46" s="226" t="e">
        <f t="shared" si="85"/>
        <v>#VALUE!</v>
      </c>
      <c r="BH46" s="227" t="e">
        <f t="shared" si="86"/>
        <v>#VALUE!</v>
      </c>
    </row>
    <row r="47" spans="1:60" x14ac:dyDescent="0.25">
      <c r="A47" s="216" t="str">
        <f t="shared" si="36"/>
        <v/>
      </c>
      <c r="B47" s="217" t="str">
        <f t="shared" si="37"/>
        <v/>
      </c>
      <c r="C47" s="217" t="str">
        <f t="shared" si="38"/>
        <v/>
      </c>
      <c r="D47" s="217" t="str">
        <f t="shared" si="39"/>
        <v/>
      </c>
      <c r="E47" s="217" t="str">
        <f t="shared" si="40"/>
        <v/>
      </c>
      <c r="F47" s="217" t="str">
        <f t="shared" si="41"/>
        <v/>
      </c>
      <c r="G47" s="217" t="str">
        <f t="shared" si="42"/>
        <v/>
      </c>
      <c r="H47" s="218" t="str">
        <f t="shared" si="43"/>
        <v/>
      </c>
      <c r="I47" s="219" t="str">
        <f t="shared" si="44"/>
        <v/>
      </c>
      <c r="J47" s="219" t="str">
        <f t="shared" si="45"/>
        <v/>
      </c>
      <c r="K47" s="206" t="str">
        <f t="shared" si="46"/>
        <v/>
      </c>
      <c r="L47" s="272" t="str">
        <f t="shared" si="47"/>
        <v/>
      </c>
      <c r="M47" s="216">
        <f>IF(最早可退休日期!$D$2&lt;&gt;"職員",Y49,IF(AND($AS$3&lt;$AS$2,$AS$4&lt;$AS$2),Y49,IF($AS$3&lt;$AS$2,Y48,Y47)))</f>
        <v>130</v>
      </c>
      <c r="N47" s="217" t="str">
        <f>IF(最早可退休日期!$D$2&lt;&gt;"職員",Z49,IF(AND($AS$3&lt;$AS$2,$AS$4&lt;$AS$2),Z49,IF($AS$3&lt;$AS$2,Z48,Z47)))</f>
        <v>無</v>
      </c>
      <c r="O47" s="217">
        <f>IF(最早可退休日期!$D$2&lt;&gt;"職員",AA49,IF(AND($AS$3&lt;$AS$2,$AS$4&lt;$AS$2),AA49,IF($AS$3&lt;$AS$2,AA48,AA47)))</f>
        <v>58</v>
      </c>
      <c r="P47" s="217">
        <f>IF(最早可退休日期!$D$2&lt;&gt;"職員",AB49,IF(AND($AS$3&lt;$AS$2,$AS$4&lt;$AS$2),AB49,IF($AS$3&lt;$AS$2,AB48,AB47)))</f>
        <v>55</v>
      </c>
      <c r="Q47" s="217">
        <f>IF(最早可退休日期!$D$2&lt;&gt;"職員",AC49,IF(AND($AS$3&lt;$AS$2,$AS$4&lt;$AS$2),AC49,IF($AS$3&lt;$AS$2,AC48,AC47)))</f>
        <v>130</v>
      </c>
      <c r="R47" s="217" t="e">
        <f>IF(最早可退休日期!$D$2&lt;&gt;"職員",AD49,IF(AND($AS$3&lt;$AS$2,$AS$4&lt;$AS$2),AD49,IF($AS$3&lt;$AS$2,AD48,AD47)))</f>
        <v>#VALUE!</v>
      </c>
      <c r="S47" s="217" t="e">
        <f>IF(最早可退休日期!$D$2&lt;&gt;"職員",AE49,IF(AND($AS$3&lt;$AS$2,$AS$4&lt;$AS$2),AE49,IF($AS$3&lt;$AS$2,AE48,AE47)))</f>
        <v>#VALUE!</v>
      </c>
      <c r="T47" s="218" t="str">
        <f>IF(最早可退休日期!$D$2&lt;&gt;"職員",AF49,IF(AND($AS$3&lt;$AS$2,$AS$4&lt;$AS$2),AF49,IF($AS$3&lt;$AS$2,AF48,AF47)))</f>
        <v>130年2月1日</v>
      </c>
      <c r="U47" s="219" t="e">
        <f>IF(最早可退休日期!$D$2&lt;&gt;"職員",AG49,IF(AND($AS$3&lt;$AS$2,$AS$4&lt;$AS$2),AG49,IF($AS$3&lt;$AS$2,AG48,AG47)))</f>
        <v>#VALUE!</v>
      </c>
      <c r="V47" s="219" t="e">
        <f>IF(最早可退休日期!$D$2&lt;&gt;"職員",AH49,IF(AND($AS$3&lt;$AS$2,$AS$4&lt;$AS$2),AH49,IF($AS$3&lt;$AS$2,AH48,AH47)))</f>
        <v>#VALUE!</v>
      </c>
      <c r="W47" s="206" t="e">
        <f>IF(最早可退休日期!$D$2&lt;&gt;"職員",AI49,IF(AND($AS$3&lt;$AS$2,$AS$4&lt;$AS$2),AI49,IF($AS$3&lt;$AS$2,AI48,AI47)))</f>
        <v>#VALUE!</v>
      </c>
      <c r="X47" s="207" t="e">
        <f>IF(最早可退休日期!$D$2&lt;&gt;"職員",AJ49,IF(AND($AS$3&lt;$AS$2,$AS$4&lt;$AS$2),AJ49,IF($AS$3&lt;$AS$2,AJ48,AJ47)))</f>
        <v>#VALUE!</v>
      </c>
      <c r="Y47" s="217">
        <f t="shared" si="61"/>
        <v>129</v>
      </c>
      <c r="Z47" s="217" t="str">
        <f t="shared" si="31"/>
        <v>無</v>
      </c>
      <c r="AA47" s="217">
        <f>IF(最早退休日期!$B$1="中等以下教師",58,IF(Y47&gt;=122,65,IF(Y47&lt;107,50,VLOOKUP(Y47,Legal_Year,3,0))))</f>
        <v>58</v>
      </c>
      <c r="AB47" s="217">
        <f t="shared" si="87"/>
        <v>55</v>
      </c>
      <c r="AC47" s="217">
        <f t="shared" si="62"/>
        <v>129</v>
      </c>
      <c r="AD47" s="217" t="e">
        <f t="shared" si="63"/>
        <v>#VALUE!</v>
      </c>
      <c r="AE47" s="217" t="e">
        <f t="shared" si="88"/>
        <v>#VALUE!</v>
      </c>
      <c r="AF47" s="227" t="str">
        <f t="shared" si="64"/>
        <v>129年2月1日</v>
      </c>
      <c r="AG47" s="219" t="e">
        <f t="shared" si="65"/>
        <v>#VALUE!</v>
      </c>
      <c r="AH47" s="219" t="e">
        <f t="shared" si="66"/>
        <v>#VALUE!</v>
      </c>
      <c r="AI47" s="206" t="e">
        <f t="shared" si="67"/>
        <v>#VALUE!</v>
      </c>
      <c r="AJ47" s="207" t="e">
        <f t="shared" si="68"/>
        <v>#VALUE!</v>
      </c>
      <c r="AK47" s="217">
        <f t="shared" si="48"/>
        <v>129</v>
      </c>
      <c r="AL47" s="217" t="e">
        <f t="shared" si="69"/>
        <v>#VALUE!</v>
      </c>
      <c r="AM47" s="220" t="e">
        <f t="shared" si="70"/>
        <v>#VALUE!</v>
      </c>
      <c r="AN47" s="220" t="e">
        <f t="shared" si="71"/>
        <v>#VALUE!</v>
      </c>
      <c r="AO47" s="220" t="e">
        <f t="shared" si="72"/>
        <v>#VALUE!</v>
      </c>
      <c r="AP47" s="221" t="e">
        <f t="shared" si="73"/>
        <v>#VALUE!</v>
      </c>
      <c r="AQ47" s="221" t="e">
        <f t="shared" si="74"/>
        <v>#VALUE!</v>
      </c>
      <c r="AR47" s="222" t="e">
        <f t="shared" si="75"/>
        <v>#VALUE!</v>
      </c>
      <c r="AS47" s="223">
        <f>IF(最早退休日期!$B$2="職員",MIN(IF(ISERROR(DATEVALUE(CONCATENATE(AK47+1911,"/",$AA$1000,"/",$AB$1000))),DATEVALUE(CONCATENATE(AK47+1911,"/",3,"/",1)),DATEVALUE(CONCATENATE(AK47+1911,"/",$AA$1000,"/",$AB$1000))),AR47),DATEVALUE(CONCATENATE(AK47+1911,"/2/1")))</f>
        <v>51167</v>
      </c>
      <c r="AT47" s="224" t="e">
        <f t="shared" si="76"/>
        <v>#VALUE!</v>
      </c>
      <c r="AU47" s="224" t="e">
        <f t="shared" si="77"/>
        <v>#VALUE!</v>
      </c>
      <c r="AV47" s="224" t="e">
        <f t="shared" si="89"/>
        <v>#VALUE!</v>
      </c>
      <c r="AW47" s="224" t="e">
        <f t="shared" si="78"/>
        <v>#VALUE!</v>
      </c>
      <c r="AX47" s="224" t="b">
        <f t="shared" si="79"/>
        <v>1</v>
      </c>
      <c r="AY47" s="224" t="e">
        <f t="shared" si="80"/>
        <v>#VALUE!</v>
      </c>
      <c r="AZ47" s="224" t="b">
        <f t="shared" si="81"/>
        <v>1</v>
      </c>
      <c r="BA47" s="224" t="e">
        <f t="shared" si="90"/>
        <v>#VALUE!</v>
      </c>
      <c r="BB47" s="224" t="e">
        <f t="shared" si="91"/>
        <v>#VALUE!</v>
      </c>
      <c r="BC47" s="224" t="e">
        <f t="shared" si="92"/>
        <v>#VALUE!</v>
      </c>
      <c r="BD47" s="225" t="e">
        <f t="shared" si="82"/>
        <v>#VALUE!</v>
      </c>
      <c r="BE47" s="225" t="e">
        <f t="shared" si="83"/>
        <v>#VALUE!</v>
      </c>
      <c r="BF47" s="225" t="e">
        <f t="shared" si="84"/>
        <v>#VALUE!</v>
      </c>
      <c r="BG47" s="226" t="e">
        <f t="shared" si="85"/>
        <v>#VALUE!</v>
      </c>
      <c r="BH47" s="227" t="e">
        <f t="shared" si="86"/>
        <v>#VALUE!</v>
      </c>
    </row>
    <row r="48" spans="1:60" x14ac:dyDescent="0.25">
      <c r="A48" s="216" t="str">
        <f t="shared" si="36"/>
        <v/>
      </c>
      <c r="B48" s="217" t="str">
        <f t="shared" si="37"/>
        <v/>
      </c>
      <c r="C48" s="217" t="str">
        <f t="shared" si="38"/>
        <v/>
      </c>
      <c r="D48" s="217" t="str">
        <f t="shared" si="39"/>
        <v/>
      </c>
      <c r="E48" s="217" t="str">
        <f t="shared" si="40"/>
        <v/>
      </c>
      <c r="F48" s="217" t="str">
        <f t="shared" si="41"/>
        <v/>
      </c>
      <c r="G48" s="217" t="str">
        <f t="shared" si="42"/>
        <v/>
      </c>
      <c r="H48" s="218" t="str">
        <f t="shared" si="43"/>
        <v/>
      </c>
      <c r="I48" s="219" t="str">
        <f t="shared" si="44"/>
        <v/>
      </c>
      <c r="J48" s="219" t="str">
        <f t="shared" si="45"/>
        <v/>
      </c>
      <c r="K48" s="206" t="str">
        <f t="shared" si="46"/>
        <v/>
      </c>
      <c r="L48" s="272" t="str">
        <f t="shared" si="47"/>
        <v/>
      </c>
      <c r="M48" s="216">
        <f>IF(最早可退休日期!$D$2&lt;&gt;"職員",Y50,IF(AND($AS$3&lt;$AS$2,$AS$4&lt;$AS$2),Y50,IF($AS$3&lt;$AS$2,Y49,Y48)))</f>
        <v>130</v>
      </c>
      <c r="N48" s="217" t="str">
        <f>IF(最早可退休日期!$D$2&lt;&gt;"職員",Z50,IF(AND($AS$3&lt;$AS$2,$AS$4&lt;$AS$2),Z50,IF($AS$3&lt;$AS$2,Z49,Z48)))</f>
        <v>無</v>
      </c>
      <c r="O48" s="217">
        <f>IF(最早可退休日期!$D$2&lt;&gt;"職員",AA50,IF(AND($AS$3&lt;$AS$2,$AS$4&lt;$AS$2),AA50,IF($AS$3&lt;$AS$2,AA49,AA48)))</f>
        <v>58</v>
      </c>
      <c r="P48" s="217">
        <f>IF(最早可退休日期!$D$2&lt;&gt;"職員",AB50,IF(AND($AS$3&lt;$AS$2,$AS$4&lt;$AS$2),AB50,IF($AS$3&lt;$AS$2,AB49,AB48)))</f>
        <v>55</v>
      </c>
      <c r="Q48" s="217">
        <f>IF(最早可退休日期!$D$2&lt;&gt;"職員",AC50,IF(AND($AS$3&lt;$AS$2,$AS$4&lt;$AS$2),AC50,IF($AS$3&lt;$AS$2,AC49,AC48)))</f>
        <v>130</v>
      </c>
      <c r="R48" s="217" t="e">
        <f>IF(最早可退休日期!$D$2&lt;&gt;"職員",AD50,IF(AND($AS$3&lt;$AS$2,$AS$4&lt;$AS$2),AD50,IF($AS$3&lt;$AS$2,AD49,AD48)))</f>
        <v>#VALUE!</v>
      </c>
      <c r="S48" s="217" t="e">
        <f>IF(最早可退休日期!$D$2&lt;&gt;"職員",AE50,IF(AND($AS$3&lt;$AS$2,$AS$4&lt;$AS$2),AE50,IF($AS$3&lt;$AS$2,AE49,AE48)))</f>
        <v>#VALUE!</v>
      </c>
      <c r="T48" s="218" t="str">
        <f>IF(最早可退休日期!$D$2&lt;&gt;"職員",AF50,IF(AND($AS$3&lt;$AS$2,$AS$4&lt;$AS$2),AF50,IF($AS$3&lt;$AS$2,AF49,AF48)))</f>
        <v>130年8月1日</v>
      </c>
      <c r="U48" s="219" t="e">
        <f>IF(最早可退休日期!$D$2&lt;&gt;"職員",AG50,IF(AND($AS$3&lt;$AS$2,$AS$4&lt;$AS$2),AG50,IF($AS$3&lt;$AS$2,AG49,AG48)))</f>
        <v>#VALUE!</v>
      </c>
      <c r="V48" s="219" t="e">
        <f>IF(最早可退休日期!$D$2&lt;&gt;"職員",AH50,IF(AND($AS$3&lt;$AS$2,$AS$4&lt;$AS$2),AH50,IF($AS$3&lt;$AS$2,AH49,AH48)))</f>
        <v>#VALUE!</v>
      </c>
      <c r="W48" s="206" t="e">
        <f>IF(最早可退休日期!$D$2&lt;&gt;"職員",AI50,IF(AND($AS$3&lt;$AS$2,$AS$4&lt;$AS$2),AI50,IF($AS$3&lt;$AS$2,AI49,AI48)))</f>
        <v>#VALUE!</v>
      </c>
      <c r="X48" s="207" t="e">
        <f>IF(最早可退休日期!$D$2&lt;&gt;"職員",AJ50,IF(AND($AS$3&lt;$AS$2,$AS$4&lt;$AS$2),AJ50,IF($AS$3&lt;$AS$2,AJ49,AJ48)))</f>
        <v>#VALUE!</v>
      </c>
      <c r="Y48" s="217">
        <f t="shared" si="61"/>
        <v>129</v>
      </c>
      <c r="Z48" s="217" t="str">
        <f t="shared" si="31"/>
        <v>無</v>
      </c>
      <c r="AA48" s="217">
        <f>IF(最早退休日期!$B$1="中等以下教師",58,IF(Y48&gt;=122,65,IF(Y48&lt;107,50,VLOOKUP(Y48,Legal_Year,3,0))))</f>
        <v>58</v>
      </c>
      <c r="AB48" s="217">
        <f t="shared" si="87"/>
        <v>55</v>
      </c>
      <c r="AC48" s="217">
        <f t="shared" si="62"/>
        <v>129</v>
      </c>
      <c r="AD48" s="217" t="e">
        <f t="shared" si="63"/>
        <v>#VALUE!</v>
      </c>
      <c r="AE48" s="217" t="e">
        <f t="shared" si="88"/>
        <v>#VALUE!</v>
      </c>
      <c r="AF48" s="227" t="str">
        <f t="shared" si="64"/>
        <v>129年8月1日</v>
      </c>
      <c r="AG48" s="219" t="e">
        <f t="shared" si="65"/>
        <v>#VALUE!</v>
      </c>
      <c r="AH48" s="219" t="e">
        <f t="shared" si="66"/>
        <v>#VALUE!</v>
      </c>
      <c r="AI48" s="206" t="e">
        <f t="shared" si="67"/>
        <v>#VALUE!</v>
      </c>
      <c r="AJ48" s="207" t="e">
        <f t="shared" si="68"/>
        <v>#VALUE!</v>
      </c>
      <c r="AK48" s="217">
        <f t="shared" si="48"/>
        <v>129</v>
      </c>
      <c r="AL48" s="217" t="e">
        <f t="shared" si="69"/>
        <v>#VALUE!</v>
      </c>
      <c r="AM48" s="220" t="e">
        <f t="shared" si="70"/>
        <v>#VALUE!</v>
      </c>
      <c r="AN48" s="220" t="e">
        <f t="shared" si="71"/>
        <v>#VALUE!</v>
      </c>
      <c r="AO48" s="220" t="e">
        <f t="shared" si="72"/>
        <v>#VALUE!</v>
      </c>
      <c r="AP48" s="221" t="e">
        <f t="shared" si="73"/>
        <v>#VALUE!</v>
      </c>
      <c r="AQ48" s="221" t="e">
        <f t="shared" si="74"/>
        <v>#VALUE!</v>
      </c>
      <c r="AR48" s="222" t="e">
        <f t="shared" si="75"/>
        <v>#VALUE!</v>
      </c>
      <c r="AS48" s="223">
        <f>IF(最早退休日期!$B$2="職員",MAX(IF(ISERROR(DATEVALUE(CONCATENATE(AK48+1911,"/",$AA$1000,"/",$AB$1000))),DATEVALUE(CONCATENATE(AK48+1911,"/",3,"/",1)),DATEVALUE(CONCATENATE(AK48+1911,"/",$AA$1000,"/",$AB$1000))),AR48),DATEVALUE(CONCATENATE(AK48+1911,"/8/1")))</f>
        <v>51349</v>
      </c>
      <c r="AT48" s="224" t="e">
        <f t="shared" si="76"/>
        <v>#VALUE!</v>
      </c>
      <c r="AU48" s="224" t="e">
        <f t="shared" si="77"/>
        <v>#VALUE!</v>
      </c>
      <c r="AV48" s="224" t="e">
        <f t="shared" si="89"/>
        <v>#VALUE!</v>
      </c>
      <c r="AW48" s="224" t="e">
        <f t="shared" si="78"/>
        <v>#VALUE!</v>
      </c>
      <c r="AX48" s="224" t="b">
        <f t="shared" si="79"/>
        <v>1</v>
      </c>
      <c r="AY48" s="224" t="e">
        <f t="shared" si="80"/>
        <v>#VALUE!</v>
      </c>
      <c r="AZ48" s="224" t="b">
        <f t="shared" si="81"/>
        <v>1</v>
      </c>
      <c r="BA48" s="224" t="e">
        <f t="shared" si="90"/>
        <v>#VALUE!</v>
      </c>
      <c r="BB48" s="224" t="e">
        <f t="shared" si="91"/>
        <v>#VALUE!</v>
      </c>
      <c r="BC48" s="224" t="e">
        <f t="shared" si="92"/>
        <v>#VALUE!</v>
      </c>
      <c r="BD48" s="225" t="e">
        <f t="shared" si="82"/>
        <v>#VALUE!</v>
      </c>
      <c r="BE48" s="225" t="e">
        <f t="shared" si="83"/>
        <v>#VALUE!</v>
      </c>
      <c r="BF48" s="225" t="e">
        <f t="shared" si="84"/>
        <v>#VALUE!</v>
      </c>
      <c r="BG48" s="226" t="e">
        <f t="shared" si="85"/>
        <v>#VALUE!</v>
      </c>
      <c r="BH48" s="227" t="e">
        <f t="shared" si="86"/>
        <v>#VALUE!</v>
      </c>
    </row>
    <row r="49" spans="1:60" x14ac:dyDescent="0.25">
      <c r="A49" s="216" t="str">
        <f t="shared" si="36"/>
        <v/>
      </c>
      <c r="B49" s="217" t="str">
        <f t="shared" si="37"/>
        <v/>
      </c>
      <c r="C49" s="217" t="str">
        <f t="shared" si="38"/>
        <v/>
      </c>
      <c r="D49" s="217" t="str">
        <f t="shared" si="39"/>
        <v/>
      </c>
      <c r="E49" s="217" t="str">
        <f t="shared" si="40"/>
        <v/>
      </c>
      <c r="F49" s="217" t="str">
        <f t="shared" si="41"/>
        <v/>
      </c>
      <c r="G49" s="217" t="str">
        <f t="shared" si="42"/>
        <v/>
      </c>
      <c r="H49" s="218" t="str">
        <f t="shared" si="43"/>
        <v/>
      </c>
      <c r="I49" s="219" t="str">
        <f t="shared" si="44"/>
        <v/>
      </c>
      <c r="J49" s="219" t="str">
        <f t="shared" si="45"/>
        <v/>
      </c>
      <c r="K49" s="206" t="str">
        <f t="shared" si="46"/>
        <v/>
      </c>
      <c r="L49" s="272" t="str">
        <f t="shared" si="47"/>
        <v/>
      </c>
      <c r="M49" s="216">
        <f>IF(最早可退休日期!$D$2&lt;&gt;"職員",Y51,IF(AND($AS$3&lt;$AS$2,$AS$4&lt;$AS$2),Y51,IF($AS$3&lt;$AS$2,Y50,Y49)))</f>
        <v>131</v>
      </c>
      <c r="N49" s="217" t="str">
        <f>IF(最早可退休日期!$D$2&lt;&gt;"職員",Z51,IF(AND($AS$3&lt;$AS$2,$AS$4&lt;$AS$2),Z51,IF($AS$3&lt;$AS$2,Z50,Z49)))</f>
        <v>無</v>
      </c>
      <c r="O49" s="217">
        <f>IF(最早可退休日期!$D$2&lt;&gt;"職員",AA51,IF(AND($AS$3&lt;$AS$2,$AS$4&lt;$AS$2),AA51,IF($AS$3&lt;$AS$2,AA50,AA49)))</f>
        <v>58</v>
      </c>
      <c r="P49" s="217">
        <f>IF(最早可退休日期!$D$2&lt;&gt;"職員",AB51,IF(AND($AS$3&lt;$AS$2,$AS$4&lt;$AS$2),AB51,IF($AS$3&lt;$AS$2,AB50,AB49)))</f>
        <v>55</v>
      </c>
      <c r="Q49" s="217">
        <f>IF(最早可退休日期!$D$2&lt;&gt;"職員",AC51,IF(AND($AS$3&lt;$AS$2,$AS$4&lt;$AS$2),AC51,IF($AS$3&lt;$AS$2,AC50,AC49)))</f>
        <v>131</v>
      </c>
      <c r="R49" s="217" t="e">
        <f>IF(最早可退休日期!$D$2&lt;&gt;"職員",AD51,IF(AND($AS$3&lt;$AS$2,$AS$4&lt;$AS$2),AD51,IF($AS$3&lt;$AS$2,AD50,AD49)))</f>
        <v>#VALUE!</v>
      </c>
      <c r="S49" s="217" t="e">
        <f>IF(最早可退休日期!$D$2&lt;&gt;"職員",AE51,IF(AND($AS$3&lt;$AS$2,$AS$4&lt;$AS$2),AE51,IF($AS$3&lt;$AS$2,AE50,AE49)))</f>
        <v>#VALUE!</v>
      </c>
      <c r="T49" s="218" t="str">
        <f>IF(最早可退休日期!$D$2&lt;&gt;"職員",AF51,IF(AND($AS$3&lt;$AS$2,$AS$4&lt;$AS$2),AF51,IF($AS$3&lt;$AS$2,AF50,AF49)))</f>
        <v>131年2月1日</v>
      </c>
      <c r="U49" s="219" t="e">
        <f>IF(最早可退休日期!$D$2&lt;&gt;"職員",AG51,IF(AND($AS$3&lt;$AS$2,$AS$4&lt;$AS$2),AG51,IF($AS$3&lt;$AS$2,AG50,AG49)))</f>
        <v>#VALUE!</v>
      </c>
      <c r="V49" s="219" t="e">
        <f>IF(最早可退休日期!$D$2&lt;&gt;"職員",AH51,IF(AND($AS$3&lt;$AS$2,$AS$4&lt;$AS$2),AH51,IF($AS$3&lt;$AS$2,AH50,AH49)))</f>
        <v>#VALUE!</v>
      </c>
      <c r="W49" s="206" t="e">
        <f>IF(最早可退休日期!$D$2&lt;&gt;"職員",AI51,IF(AND($AS$3&lt;$AS$2,$AS$4&lt;$AS$2),AI51,IF($AS$3&lt;$AS$2,AI50,AI49)))</f>
        <v>#VALUE!</v>
      </c>
      <c r="X49" s="207" t="e">
        <f>IF(最早可退休日期!$D$2&lt;&gt;"職員",AJ51,IF(AND($AS$3&lt;$AS$2,$AS$4&lt;$AS$2),AJ51,IF($AS$3&lt;$AS$2,AJ50,AJ49)))</f>
        <v>#VALUE!</v>
      </c>
      <c r="Y49" s="217">
        <f t="shared" si="61"/>
        <v>130</v>
      </c>
      <c r="Z49" s="217" t="str">
        <f t="shared" si="31"/>
        <v>無</v>
      </c>
      <c r="AA49" s="217">
        <f>IF(最早退休日期!$B$1="中等以下教師",58,IF(Y49&gt;=122,65,IF(Y49&lt;107,50,VLOOKUP(Y49,Legal_Year,3,0))))</f>
        <v>58</v>
      </c>
      <c r="AB49" s="217">
        <f t="shared" si="87"/>
        <v>55</v>
      </c>
      <c r="AC49" s="217">
        <f t="shared" si="62"/>
        <v>130</v>
      </c>
      <c r="AD49" s="217" t="e">
        <f t="shared" si="63"/>
        <v>#VALUE!</v>
      </c>
      <c r="AE49" s="217" t="e">
        <f t="shared" si="88"/>
        <v>#VALUE!</v>
      </c>
      <c r="AF49" s="227" t="str">
        <f t="shared" si="64"/>
        <v>130年2月1日</v>
      </c>
      <c r="AG49" s="219" t="e">
        <f t="shared" si="65"/>
        <v>#VALUE!</v>
      </c>
      <c r="AH49" s="219" t="e">
        <f t="shared" si="66"/>
        <v>#VALUE!</v>
      </c>
      <c r="AI49" s="206" t="e">
        <f t="shared" si="67"/>
        <v>#VALUE!</v>
      </c>
      <c r="AJ49" s="207" t="e">
        <f t="shared" si="68"/>
        <v>#VALUE!</v>
      </c>
      <c r="AK49" s="217">
        <f t="shared" si="48"/>
        <v>130</v>
      </c>
      <c r="AL49" s="217" t="e">
        <f t="shared" si="69"/>
        <v>#VALUE!</v>
      </c>
      <c r="AM49" s="220" t="e">
        <f t="shared" si="70"/>
        <v>#VALUE!</v>
      </c>
      <c r="AN49" s="220" t="e">
        <f t="shared" si="71"/>
        <v>#VALUE!</v>
      </c>
      <c r="AO49" s="220" t="e">
        <f t="shared" si="72"/>
        <v>#VALUE!</v>
      </c>
      <c r="AP49" s="221" t="e">
        <f t="shared" si="73"/>
        <v>#VALUE!</v>
      </c>
      <c r="AQ49" s="221" t="e">
        <f t="shared" si="74"/>
        <v>#VALUE!</v>
      </c>
      <c r="AR49" s="222" t="e">
        <f t="shared" si="75"/>
        <v>#VALUE!</v>
      </c>
      <c r="AS49" s="223">
        <f>IF(最早退休日期!$B$2="職員",MIN(IF(ISERROR(DATEVALUE(CONCATENATE(AK49+1911,"/",$AA$1000,"/",$AB$1000))),DATEVALUE(CONCATENATE(AK49+1911,"/",3,"/",1)),DATEVALUE(CONCATENATE(AK49+1911,"/",$AA$1000,"/",$AB$1000))),AR49),DATEVALUE(CONCATENATE(AK49+1911,"/2/1")))</f>
        <v>51533</v>
      </c>
      <c r="AT49" s="224" t="e">
        <f t="shared" si="76"/>
        <v>#VALUE!</v>
      </c>
      <c r="AU49" s="224" t="e">
        <f t="shared" si="77"/>
        <v>#VALUE!</v>
      </c>
      <c r="AV49" s="224" t="e">
        <f t="shared" si="89"/>
        <v>#VALUE!</v>
      </c>
      <c r="AW49" s="224" t="e">
        <f t="shared" si="78"/>
        <v>#VALUE!</v>
      </c>
      <c r="AX49" s="224" t="b">
        <f t="shared" si="79"/>
        <v>1</v>
      </c>
      <c r="AY49" s="224" t="e">
        <f t="shared" si="80"/>
        <v>#VALUE!</v>
      </c>
      <c r="AZ49" s="224" t="b">
        <f t="shared" si="81"/>
        <v>1</v>
      </c>
      <c r="BA49" s="224" t="e">
        <f t="shared" si="90"/>
        <v>#VALUE!</v>
      </c>
      <c r="BB49" s="224" t="e">
        <f t="shared" si="91"/>
        <v>#VALUE!</v>
      </c>
      <c r="BC49" s="224" t="e">
        <f t="shared" si="92"/>
        <v>#VALUE!</v>
      </c>
      <c r="BD49" s="225" t="e">
        <f t="shared" si="82"/>
        <v>#VALUE!</v>
      </c>
      <c r="BE49" s="225" t="e">
        <f t="shared" si="83"/>
        <v>#VALUE!</v>
      </c>
      <c r="BF49" s="225" t="e">
        <f t="shared" si="84"/>
        <v>#VALUE!</v>
      </c>
      <c r="BG49" s="226" t="e">
        <f t="shared" si="85"/>
        <v>#VALUE!</v>
      </c>
      <c r="BH49" s="227" t="e">
        <f t="shared" si="86"/>
        <v>#VALUE!</v>
      </c>
    </row>
    <row r="50" spans="1:60" x14ac:dyDescent="0.25">
      <c r="A50" s="216" t="str">
        <f t="shared" si="36"/>
        <v/>
      </c>
      <c r="B50" s="217" t="str">
        <f t="shared" si="37"/>
        <v/>
      </c>
      <c r="C50" s="217" t="str">
        <f t="shared" si="38"/>
        <v/>
      </c>
      <c r="D50" s="217" t="str">
        <f t="shared" si="39"/>
        <v/>
      </c>
      <c r="E50" s="217" t="str">
        <f t="shared" si="40"/>
        <v/>
      </c>
      <c r="F50" s="217" t="str">
        <f t="shared" si="41"/>
        <v/>
      </c>
      <c r="G50" s="217" t="str">
        <f t="shared" si="42"/>
        <v/>
      </c>
      <c r="H50" s="218" t="str">
        <f t="shared" si="43"/>
        <v/>
      </c>
      <c r="I50" s="219" t="str">
        <f t="shared" si="44"/>
        <v/>
      </c>
      <c r="J50" s="219" t="str">
        <f t="shared" si="45"/>
        <v/>
      </c>
      <c r="K50" s="206" t="str">
        <f t="shared" si="46"/>
        <v/>
      </c>
      <c r="L50" s="272" t="str">
        <f t="shared" si="47"/>
        <v/>
      </c>
      <c r="M50" s="216">
        <f>IF(最早可退休日期!$D$2&lt;&gt;"職員",Y52,IF(AND($AS$3&lt;$AS$2,$AS$4&lt;$AS$2),Y52,IF($AS$3&lt;$AS$2,Y51,Y50)))</f>
        <v>131</v>
      </c>
      <c r="N50" s="217" t="str">
        <f>IF(最早可退休日期!$D$2&lt;&gt;"職員",Z52,IF(AND($AS$3&lt;$AS$2,$AS$4&lt;$AS$2),Z52,IF($AS$3&lt;$AS$2,Z51,Z50)))</f>
        <v>無</v>
      </c>
      <c r="O50" s="217">
        <f>IF(最早可退休日期!$D$2&lt;&gt;"職員",AA52,IF(AND($AS$3&lt;$AS$2,$AS$4&lt;$AS$2),AA52,IF($AS$3&lt;$AS$2,AA51,AA50)))</f>
        <v>58</v>
      </c>
      <c r="P50" s="217">
        <f>IF(最早可退休日期!$D$2&lt;&gt;"職員",AB52,IF(AND($AS$3&lt;$AS$2,$AS$4&lt;$AS$2),AB52,IF($AS$3&lt;$AS$2,AB51,AB50)))</f>
        <v>55</v>
      </c>
      <c r="Q50" s="217">
        <f>IF(最早可退休日期!$D$2&lt;&gt;"職員",AC52,IF(AND($AS$3&lt;$AS$2,$AS$4&lt;$AS$2),AC52,IF($AS$3&lt;$AS$2,AC51,AC50)))</f>
        <v>131</v>
      </c>
      <c r="R50" s="217" t="e">
        <f>IF(最早可退休日期!$D$2&lt;&gt;"職員",AD52,IF(AND($AS$3&lt;$AS$2,$AS$4&lt;$AS$2),AD52,IF($AS$3&lt;$AS$2,AD51,AD50)))</f>
        <v>#VALUE!</v>
      </c>
      <c r="S50" s="217" t="e">
        <f>IF(最早可退休日期!$D$2&lt;&gt;"職員",AE52,IF(AND($AS$3&lt;$AS$2,$AS$4&lt;$AS$2),AE52,IF($AS$3&lt;$AS$2,AE51,AE50)))</f>
        <v>#VALUE!</v>
      </c>
      <c r="T50" s="218" t="str">
        <f>IF(最早可退休日期!$D$2&lt;&gt;"職員",AF52,IF(AND($AS$3&lt;$AS$2,$AS$4&lt;$AS$2),AF52,IF($AS$3&lt;$AS$2,AF51,AF50)))</f>
        <v>131年8月1日</v>
      </c>
      <c r="U50" s="219" t="e">
        <f>IF(最早可退休日期!$D$2&lt;&gt;"職員",AG52,IF(AND($AS$3&lt;$AS$2,$AS$4&lt;$AS$2),AG52,IF($AS$3&lt;$AS$2,AG51,AG50)))</f>
        <v>#VALUE!</v>
      </c>
      <c r="V50" s="219" t="e">
        <f>IF(最早可退休日期!$D$2&lt;&gt;"職員",AH52,IF(AND($AS$3&lt;$AS$2,$AS$4&lt;$AS$2),AH52,IF($AS$3&lt;$AS$2,AH51,AH50)))</f>
        <v>#VALUE!</v>
      </c>
      <c r="W50" s="206" t="e">
        <f>IF(最早可退休日期!$D$2&lt;&gt;"職員",AI52,IF(AND($AS$3&lt;$AS$2,$AS$4&lt;$AS$2),AI52,IF($AS$3&lt;$AS$2,AI51,AI50)))</f>
        <v>#VALUE!</v>
      </c>
      <c r="X50" s="207" t="e">
        <f>IF(最早可退休日期!$D$2&lt;&gt;"職員",AJ52,IF(AND($AS$3&lt;$AS$2,$AS$4&lt;$AS$2),AJ52,IF($AS$3&lt;$AS$2,AJ51,AJ50)))</f>
        <v>#VALUE!</v>
      </c>
      <c r="Y50" s="217">
        <f t="shared" si="61"/>
        <v>130</v>
      </c>
      <c r="Z50" s="217" t="str">
        <f t="shared" si="31"/>
        <v>無</v>
      </c>
      <c r="AA50" s="217">
        <f>IF(最早退休日期!$B$1="中等以下教師",58,IF(Y50&gt;=122,65,IF(Y50&lt;107,50,VLOOKUP(Y50,Legal_Year,3,0))))</f>
        <v>58</v>
      </c>
      <c r="AB50" s="217">
        <f t="shared" si="87"/>
        <v>55</v>
      </c>
      <c r="AC50" s="217">
        <f t="shared" si="62"/>
        <v>130</v>
      </c>
      <c r="AD50" s="217" t="e">
        <f t="shared" si="63"/>
        <v>#VALUE!</v>
      </c>
      <c r="AE50" s="217" t="e">
        <f t="shared" si="88"/>
        <v>#VALUE!</v>
      </c>
      <c r="AF50" s="227" t="str">
        <f t="shared" si="64"/>
        <v>130年8月1日</v>
      </c>
      <c r="AG50" s="219" t="e">
        <f t="shared" si="65"/>
        <v>#VALUE!</v>
      </c>
      <c r="AH50" s="219" t="e">
        <f t="shared" si="66"/>
        <v>#VALUE!</v>
      </c>
      <c r="AI50" s="206" t="e">
        <f t="shared" si="67"/>
        <v>#VALUE!</v>
      </c>
      <c r="AJ50" s="207" t="e">
        <f t="shared" si="68"/>
        <v>#VALUE!</v>
      </c>
      <c r="AK50" s="217">
        <f t="shared" si="48"/>
        <v>130</v>
      </c>
      <c r="AL50" s="217" t="e">
        <f t="shared" si="69"/>
        <v>#VALUE!</v>
      </c>
      <c r="AM50" s="220" t="e">
        <f t="shared" si="70"/>
        <v>#VALUE!</v>
      </c>
      <c r="AN50" s="220" t="e">
        <f t="shared" si="71"/>
        <v>#VALUE!</v>
      </c>
      <c r="AO50" s="220" t="e">
        <f t="shared" si="72"/>
        <v>#VALUE!</v>
      </c>
      <c r="AP50" s="221" t="e">
        <f t="shared" si="73"/>
        <v>#VALUE!</v>
      </c>
      <c r="AQ50" s="221" t="e">
        <f t="shared" si="74"/>
        <v>#VALUE!</v>
      </c>
      <c r="AR50" s="222" t="e">
        <f t="shared" si="75"/>
        <v>#VALUE!</v>
      </c>
      <c r="AS50" s="223">
        <f>IF(最早退休日期!$B$2="職員",MAX(IF(ISERROR(DATEVALUE(CONCATENATE(AK50+1911,"/",$AA$1000,"/",$AB$1000))),DATEVALUE(CONCATENATE(AK50+1911,"/",3,"/",1)),DATEVALUE(CONCATENATE(AK50+1911,"/",$AA$1000,"/",$AB$1000))),AR50),DATEVALUE(CONCATENATE(AK50+1911,"/8/1")))</f>
        <v>51714</v>
      </c>
      <c r="AT50" s="224" t="e">
        <f t="shared" si="76"/>
        <v>#VALUE!</v>
      </c>
      <c r="AU50" s="224" t="e">
        <f t="shared" si="77"/>
        <v>#VALUE!</v>
      </c>
      <c r="AV50" s="224" t="e">
        <f t="shared" si="89"/>
        <v>#VALUE!</v>
      </c>
      <c r="AW50" s="224" t="e">
        <f t="shared" si="78"/>
        <v>#VALUE!</v>
      </c>
      <c r="AX50" s="224" t="b">
        <f t="shared" si="79"/>
        <v>1</v>
      </c>
      <c r="AY50" s="224" t="e">
        <f t="shared" si="80"/>
        <v>#VALUE!</v>
      </c>
      <c r="AZ50" s="224" t="b">
        <f t="shared" si="81"/>
        <v>1</v>
      </c>
      <c r="BA50" s="224" t="e">
        <f t="shared" si="90"/>
        <v>#VALUE!</v>
      </c>
      <c r="BB50" s="224" t="e">
        <f t="shared" si="91"/>
        <v>#VALUE!</v>
      </c>
      <c r="BC50" s="224" t="e">
        <f t="shared" si="92"/>
        <v>#VALUE!</v>
      </c>
      <c r="BD50" s="225" t="e">
        <f t="shared" si="82"/>
        <v>#VALUE!</v>
      </c>
      <c r="BE50" s="225" t="e">
        <f t="shared" si="83"/>
        <v>#VALUE!</v>
      </c>
      <c r="BF50" s="225" t="e">
        <f t="shared" si="84"/>
        <v>#VALUE!</v>
      </c>
      <c r="BG50" s="226" t="e">
        <f t="shared" si="85"/>
        <v>#VALUE!</v>
      </c>
      <c r="BH50" s="227" t="e">
        <f t="shared" si="86"/>
        <v>#VALUE!</v>
      </c>
    </row>
    <row r="51" spans="1:60" x14ac:dyDescent="0.25">
      <c r="A51" s="216" t="str">
        <f t="shared" si="36"/>
        <v/>
      </c>
      <c r="B51" s="217" t="str">
        <f t="shared" si="37"/>
        <v/>
      </c>
      <c r="C51" s="217" t="str">
        <f t="shared" si="38"/>
        <v/>
      </c>
      <c r="D51" s="217" t="str">
        <f t="shared" si="39"/>
        <v/>
      </c>
      <c r="E51" s="217" t="str">
        <f t="shared" si="40"/>
        <v/>
      </c>
      <c r="F51" s="217" t="str">
        <f t="shared" si="41"/>
        <v/>
      </c>
      <c r="G51" s="217" t="str">
        <f t="shared" si="42"/>
        <v/>
      </c>
      <c r="H51" s="218" t="str">
        <f t="shared" si="43"/>
        <v/>
      </c>
      <c r="I51" s="219" t="str">
        <f t="shared" si="44"/>
        <v/>
      </c>
      <c r="J51" s="219" t="str">
        <f t="shared" si="45"/>
        <v/>
      </c>
      <c r="K51" s="206" t="str">
        <f t="shared" si="46"/>
        <v/>
      </c>
      <c r="L51" s="272" t="str">
        <f t="shared" si="47"/>
        <v/>
      </c>
      <c r="M51" s="216">
        <f>IF(最早可退休日期!$D$2&lt;&gt;"職員",Y53,IF(AND($AS$3&lt;$AS$2,$AS$4&lt;$AS$2),Y53,IF($AS$3&lt;$AS$2,Y52,Y51)))</f>
        <v>132</v>
      </c>
      <c r="N51" s="217" t="str">
        <f>IF(最早可退休日期!$D$2&lt;&gt;"職員",Z53,IF(AND($AS$3&lt;$AS$2,$AS$4&lt;$AS$2),Z53,IF($AS$3&lt;$AS$2,Z52,Z51)))</f>
        <v>無</v>
      </c>
      <c r="O51" s="217">
        <f>IF(最早可退休日期!$D$2&lt;&gt;"職員",AA53,IF(AND($AS$3&lt;$AS$2,$AS$4&lt;$AS$2),AA53,IF($AS$3&lt;$AS$2,AA52,AA51)))</f>
        <v>58</v>
      </c>
      <c r="P51" s="217">
        <f>IF(最早可退休日期!$D$2&lt;&gt;"職員",AB53,IF(AND($AS$3&lt;$AS$2,$AS$4&lt;$AS$2),AB53,IF($AS$3&lt;$AS$2,AB52,AB51)))</f>
        <v>55</v>
      </c>
      <c r="Q51" s="217">
        <f>IF(最早可退休日期!$D$2&lt;&gt;"職員",AC53,IF(AND($AS$3&lt;$AS$2,$AS$4&lt;$AS$2),AC53,IF($AS$3&lt;$AS$2,AC52,AC51)))</f>
        <v>132</v>
      </c>
      <c r="R51" s="217" t="e">
        <f>IF(最早可退休日期!$D$2&lt;&gt;"職員",AD53,IF(AND($AS$3&lt;$AS$2,$AS$4&lt;$AS$2),AD53,IF($AS$3&lt;$AS$2,AD52,AD51)))</f>
        <v>#VALUE!</v>
      </c>
      <c r="S51" s="217" t="e">
        <f>IF(最早可退休日期!$D$2&lt;&gt;"職員",AE53,IF(AND($AS$3&lt;$AS$2,$AS$4&lt;$AS$2),AE53,IF($AS$3&lt;$AS$2,AE52,AE51)))</f>
        <v>#VALUE!</v>
      </c>
      <c r="T51" s="218" t="str">
        <f>IF(最早可退休日期!$D$2&lt;&gt;"職員",AF53,IF(AND($AS$3&lt;$AS$2,$AS$4&lt;$AS$2),AF53,IF($AS$3&lt;$AS$2,AF52,AF51)))</f>
        <v>132年2月1日</v>
      </c>
      <c r="U51" s="219" t="e">
        <f>IF(最早可退休日期!$D$2&lt;&gt;"職員",AG53,IF(AND($AS$3&lt;$AS$2,$AS$4&lt;$AS$2),AG53,IF($AS$3&lt;$AS$2,AG52,AG51)))</f>
        <v>#VALUE!</v>
      </c>
      <c r="V51" s="219" t="e">
        <f>IF(最早可退休日期!$D$2&lt;&gt;"職員",AH53,IF(AND($AS$3&lt;$AS$2,$AS$4&lt;$AS$2),AH53,IF($AS$3&lt;$AS$2,AH52,AH51)))</f>
        <v>#VALUE!</v>
      </c>
      <c r="W51" s="206" t="e">
        <f>IF(最早可退休日期!$D$2&lt;&gt;"職員",AI53,IF(AND($AS$3&lt;$AS$2,$AS$4&lt;$AS$2),AI53,IF($AS$3&lt;$AS$2,AI52,AI51)))</f>
        <v>#VALUE!</v>
      </c>
      <c r="X51" s="207" t="e">
        <f>IF(最早可退休日期!$D$2&lt;&gt;"職員",AJ53,IF(AND($AS$3&lt;$AS$2,$AS$4&lt;$AS$2),AJ53,IF($AS$3&lt;$AS$2,AJ52,AJ51)))</f>
        <v>#VALUE!</v>
      </c>
      <c r="Y51" s="217">
        <f t="shared" si="61"/>
        <v>131</v>
      </c>
      <c r="Z51" s="217" t="str">
        <f t="shared" si="31"/>
        <v>無</v>
      </c>
      <c r="AA51" s="217">
        <f>IF(最早退休日期!$B$1="中等以下教師",58,IF(Y51&gt;=122,65,IF(Y51&lt;107,50,VLOOKUP(Y51,Legal_Year,3,0))))</f>
        <v>58</v>
      </c>
      <c r="AB51" s="217">
        <f t="shared" si="87"/>
        <v>55</v>
      </c>
      <c r="AC51" s="217">
        <f t="shared" si="62"/>
        <v>131</v>
      </c>
      <c r="AD51" s="217" t="e">
        <f t="shared" si="63"/>
        <v>#VALUE!</v>
      </c>
      <c r="AE51" s="217" t="e">
        <f t="shared" si="88"/>
        <v>#VALUE!</v>
      </c>
      <c r="AF51" s="227" t="str">
        <f t="shared" si="64"/>
        <v>131年2月1日</v>
      </c>
      <c r="AG51" s="219" t="e">
        <f t="shared" si="65"/>
        <v>#VALUE!</v>
      </c>
      <c r="AH51" s="219" t="e">
        <f t="shared" si="66"/>
        <v>#VALUE!</v>
      </c>
      <c r="AI51" s="206" t="e">
        <f t="shared" si="67"/>
        <v>#VALUE!</v>
      </c>
      <c r="AJ51" s="207" t="e">
        <f t="shared" si="68"/>
        <v>#VALUE!</v>
      </c>
      <c r="AK51" s="217">
        <f t="shared" si="48"/>
        <v>131</v>
      </c>
      <c r="AL51" s="217" t="e">
        <f t="shared" si="69"/>
        <v>#VALUE!</v>
      </c>
      <c r="AM51" s="220" t="e">
        <f t="shared" si="70"/>
        <v>#VALUE!</v>
      </c>
      <c r="AN51" s="220" t="e">
        <f t="shared" si="71"/>
        <v>#VALUE!</v>
      </c>
      <c r="AO51" s="220" t="e">
        <f t="shared" si="72"/>
        <v>#VALUE!</v>
      </c>
      <c r="AP51" s="221" t="e">
        <f t="shared" si="73"/>
        <v>#VALUE!</v>
      </c>
      <c r="AQ51" s="221" t="e">
        <f t="shared" si="74"/>
        <v>#VALUE!</v>
      </c>
      <c r="AR51" s="222" t="e">
        <f t="shared" si="75"/>
        <v>#VALUE!</v>
      </c>
      <c r="AS51" s="223">
        <f>IF(最早退休日期!$B$2="職員",MIN(IF(ISERROR(DATEVALUE(CONCATENATE(AK51+1911,"/",$AA$1000,"/",$AB$1000))),DATEVALUE(CONCATENATE(AK51+1911,"/",3,"/",1)),DATEVALUE(CONCATENATE(AK51+1911,"/",$AA$1000,"/",$AB$1000))),AR51),DATEVALUE(CONCATENATE(AK51+1911,"/2/1")))</f>
        <v>51898</v>
      </c>
      <c r="AT51" s="224" t="e">
        <f t="shared" si="76"/>
        <v>#VALUE!</v>
      </c>
      <c r="AU51" s="224" t="e">
        <f t="shared" si="77"/>
        <v>#VALUE!</v>
      </c>
      <c r="AV51" s="224" t="e">
        <f t="shared" si="89"/>
        <v>#VALUE!</v>
      </c>
      <c r="AW51" s="224" t="e">
        <f t="shared" si="78"/>
        <v>#VALUE!</v>
      </c>
      <c r="AX51" s="224" t="b">
        <f t="shared" si="79"/>
        <v>1</v>
      </c>
      <c r="AY51" s="224" t="e">
        <f t="shared" si="80"/>
        <v>#VALUE!</v>
      </c>
      <c r="AZ51" s="224" t="b">
        <f t="shared" si="81"/>
        <v>1</v>
      </c>
      <c r="BA51" s="224" t="e">
        <f t="shared" si="90"/>
        <v>#VALUE!</v>
      </c>
      <c r="BB51" s="224" t="e">
        <f t="shared" si="91"/>
        <v>#VALUE!</v>
      </c>
      <c r="BC51" s="224" t="e">
        <f t="shared" si="92"/>
        <v>#VALUE!</v>
      </c>
      <c r="BD51" s="225" t="e">
        <f t="shared" si="82"/>
        <v>#VALUE!</v>
      </c>
      <c r="BE51" s="225" t="e">
        <f t="shared" si="83"/>
        <v>#VALUE!</v>
      </c>
      <c r="BF51" s="225" t="e">
        <f t="shared" si="84"/>
        <v>#VALUE!</v>
      </c>
      <c r="BG51" s="226" t="e">
        <f t="shared" si="85"/>
        <v>#VALUE!</v>
      </c>
      <c r="BH51" s="227" t="e">
        <f t="shared" si="86"/>
        <v>#VALUE!</v>
      </c>
    </row>
    <row r="52" spans="1:60" x14ac:dyDescent="0.25">
      <c r="A52" s="216" t="str">
        <f t="shared" si="36"/>
        <v/>
      </c>
      <c r="B52" s="217" t="str">
        <f t="shared" si="37"/>
        <v/>
      </c>
      <c r="C52" s="217" t="str">
        <f t="shared" si="38"/>
        <v/>
      </c>
      <c r="D52" s="217" t="str">
        <f t="shared" si="39"/>
        <v/>
      </c>
      <c r="E52" s="217" t="str">
        <f t="shared" si="40"/>
        <v/>
      </c>
      <c r="F52" s="217" t="str">
        <f t="shared" si="41"/>
        <v/>
      </c>
      <c r="G52" s="217" t="str">
        <f t="shared" si="42"/>
        <v/>
      </c>
      <c r="H52" s="218" t="str">
        <f t="shared" si="43"/>
        <v/>
      </c>
      <c r="I52" s="219" t="str">
        <f t="shared" si="44"/>
        <v/>
      </c>
      <c r="J52" s="219" t="str">
        <f t="shared" si="45"/>
        <v/>
      </c>
      <c r="K52" s="206" t="str">
        <f t="shared" si="46"/>
        <v/>
      </c>
      <c r="L52" s="272" t="str">
        <f t="shared" si="47"/>
        <v/>
      </c>
      <c r="M52" s="216">
        <f>IF(最早可退休日期!$D$2&lt;&gt;"職員",Y54,IF(AND($AS$3&lt;$AS$2,$AS$4&lt;$AS$2),Y54,IF($AS$3&lt;$AS$2,Y53,Y52)))</f>
        <v>132</v>
      </c>
      <c r="N52" s="217" t="str">
        <f>IF(最早可退休日期!$D$2&lt;&gt;"職員",Z54,IF(AND($AS$3&lt;$AS$2,$AS$4&lt;$AS$2),Z54,IF($AS$3&lt;$AS$2,Z53,Z52)))</f>
        <v>無</v>
      </c>
      <c r="O52" s="217">
        <f>IF(最早可退休日期!$D$2&lt;&gt;"職員",AA54,IF(AND($AS$3&lt;$AS$2,$AS$4&lt;$AS$2),AA54,IF($AS$3&lt;$AS$2,AA53,AA52)))</f>
        <v>58</v>
      </c>
      <c r="P52" s="217">
        <f>IF(最早可退休日期!$D$2&lt;&gt;"職員",AB54,IF(AND($AS$3&lt;$AS$2,$AS$4&lt;$AS$2),AB54,IF($AS$3&lt;$AS$2,AB53,AB52)))</f>
        <v>55</v>
      </c>
      <c r="Q52" s="217">
        <f>IF(最早可退休日期!$D$2&lt;&gt;"職員",AC54,IF(AND($AS$3&lt;$AS$2,$AS$4&lt;$AS$2),AC54,IF($AS$3&lt;$AS$2,AC53,AC52)))</f>
        <v>132</v>
      </c>
      <c r="R52" s="217" t="e">
        <f>IF(最早可退休日期!$D$2&lt;&gt;"職員",AD54,IF(AND($AS$3&lt;$AS$2,$AS$4&lt;$AS$2),AD54,IF($AS$3&lt;$AS$2,AD53,AD52)))</f>
        <v>#VALUE!</v>
      </c>
      <c r="S52" s="217" t="e">
        <f>IF(最早可退休日期!$D$2&lt;&gt;"職員",AE54,IF(AND($AS$3&lt;$AS$2,$AS$4&lt;$AS$2),AE54,IF($AS$3&lt;$AS$2,AE53,AE52)))</f>
        <v>#VALUE!</v>
      </c>
      <c r="T52" s="218" t="str">
        <f>IF(最早可退休日期!$D$2&lt;&gt;"職員",AF54,IF(AND($AS$3&lt;$AS$2,$AS$4&lt;$AS$2),AF54,IF($AS$3&lt;$AS$2,AF53,AF52)))</f>
        <v>132年8月1日</v>
      </c>
      <c r="U52" s="219" t="e">
        <f>IF(最早可退休日期!$D$2&lt;&gt;"職員",AG54,IF(AND($AS$3&lt;$AS$2,$AS$4&lt;$AS$2),AG54,IF($AS$3&lt;$AS$2,AG53,AG52)))</f>
        <v>#VALUE!</v>
      </c>
      <c r="V52" s="219" t="e">
        <f>IF(最早可退休日期!$D$2&lt;&gt;"職員",AH54,IF(AND($AS$3&lt;$AS$2,$AS$4&lt;$AS$2),AH54,IF($AS$3&lt;$AS$2,AH53,AH52)))</f>
        <v>#VALUE!</v>
      </c>
      <c r="W52" s="206" t="e">
        <f>IF(最早可退休日期!$D$2&lt;&gt;"職員",AI54,IF(AND($AS$3&lt;$AS$2,$AS$4&lt;$AS$2),AI54,IF($AS$3&lt;$AS$2,AI53,AI52)))</f>
        <v>#VALUE!</v>
      </c>
      <c r="X52" s="207" t="e">
        <f>IF(最早可退休日期!$D$2&lt;&gt;"職員",AJ54,IF(AND($AS$3&lt;$AS$2,$AS$4&lt;$AS$2),AJ54,IF($AS$3&lt;$AS$2,AJ53,AJ52)))</f>
        <v>#VALUE!</v>
      </c>
      <c r="Y52" s="217">
        <f t="shared" si="61"/>
        <v>131</v>
      </c>
      <c r="Z52" s="217" t="str">
        <f t="shared" si="31"/>
        <v>無</v>
      </c>
      <c r="AA52" s="217">
        <f>IF(最早退休日期!$B$1="中等以下教師",58,IF(Y52&gt;=122,65,IF(Y52&lt;107,50,VLOOKUP(Y52,Legal_Year,3,0))))</f>
        <v>58</v>
      </c>
      <c r="AB52" s="217">
        <f t="shared" si="87"/>
        <v>55</v>
      </c>
      <c r="AC52" s="217">
        <f t="shared" si="62"/>
        <v>131</v>
      </c>
      <c r="AD52" s="217" t="e">
        <f t="shared" si="63"/>
        <v>#VALUE!</v>
      </c>
      <c r="AE52" s="217" t="e">
        <f t="shared" si="88"/>
        <v>#VALUE!</v>
      </c>
      <c r="AF52" s="227" t="str">
        <f t="shared" si="64"/>
        <v>131年8月1日</v>
      </c>
      <c r="AG52" s="219" t="e">
        <f t="shared" si="65"/>
        <v>#VALUE!</v>
      </c>
      <c r="AH52" s="219" t="e">
        <f t="shared" si="66"/>
        <v>#VALUE!</v>
      </c>
      <c r="AI52" s="206" t="e">
        <f t="shared" si="67"/>
        <v>#VALUE!</v>
      </c>
      <c r="AJ52" s="207" t="e">
        <f t="shared" si="68"/>
        <v>#VALUE!</v>
      </c>
      <c r="AK52" s="217">
        <f t="shared" si="48"/>
        <v>131</v>
      </c>
      <c r="AL52" s="217" t="e">
        <f t="shared" si="69"/>
        <v>#VALUE!</v>
      </c>
      <c r="AM52" s="220" t="e">
        <f t="shared" si="70"/>
        <v>#VALUE!</v>
      </c>
      <c r="AN52" s="220" t="e">
        <f t="shared" si="71"/>
        <v>#VALUE!</v>
      </c>
      <c r="AO52" s="220" t="e">
        <f t="shared" si="72"/>
        <v>#VALUE!</v>
      </c>
      <c r="AP52" s="221" t="e">
        <f t="shared" si="73"/>
        <v>#VALUE!</v>
      </c>
      <c r="AQ52" s="221" t="e">
        <f t="shared" si="74"/>
        <v>#VALUE!</v>
      </c>
      <c r="AR52" s="222" t="e">
        <f t="shared" si="75"/>
        <v>#VALUE!</v>
      </c>
      <c r="AS52" s="223">
        <f>IF(最早退休日期!$B$2="職員",MAX(IF(ISERROR(DATEVALUE(CONCATENATE(AK52+1911,"/",$AA$1000,"/",$AB$1000))),DATEVALUE(CONCATENATE(AK52+1911,"/",3,"/",1)),DATEVALUE(CONCATENATE(AK52+1911,"/",$AA$1000,"/",$AB$1000))),AR52),DATEVALUE(CONCATENATE(AK52+1911,"/8/1")))</f>
        <v>52079</v>
      </c>
      <c r="AT52" s="224" t="e">
        <f t="shared" si="76"/>
        <v>#VALUE!</v>
      </c>
      <c r="AU52" s="224" t="e">
        <f t="shared" si="77"/>
        <v>#VALUE!</v>
      </c>
      <c r="AV52" s="224" t="e">
        <f t="shared" si="89"/>
        <v>#VALUE!</v>
      </c>
      <c r="AW52" s="224" t="e">
        <f t="shared" si="78"/>
        <v>#VALUE!</v>
      </c>
      <c r="AX52" s="224" t="b">
        <f t="shared" si="79"/>
        <v>1</v>
      </c>
      <c r="AY52" s="224" t="e">
        <f t="shared" si="80"/>
        <v>#VALUE!</v>
      </c>
      <c r="AZ52" s="224" t="b">
        <f t="shared" si="81"/>
        <v>1</v>
      </c>
      <c r="BA52" s="224" t="e">
        <f t="shared" si="90"/>
        <v>#VALUE!</v>
      </c>
      <c r="BB52" s="224" t="e">
        <f t="shared" si="91"/>
        <v>#VALUE!</v>
      </c>
      <c r="BC52" s="224" t="e">
        <f t="shared" si="92"/>
        <v>#VALUE!</v>
      </c>
      <c r="BD52" s="225" t="e">
        <f t="shared" si="82"/>
        <v>#VALUE!</v>
      </c>
      <c r="BE52" s="225" t="e">
        <f t="shared" si="83"/>
        <v>#VALUE!</v>
      </c>
      <c r="BF52" s="225" t="e">
        <f t="shared" si="84"/>
        <v>#VALUE!</v>
      </c>
      <c r="BG52" s="226" t="e">
        <f t="shared" si="85"/>
        <v>#VALUE!</v>
      </c>
      <c r="BH52" s="227" t="e">
        <f t="shared" si="86"/>
        <v>#VALUE!</v>
      </c>
    </row>
    <row r="53" spans="1:60" x14ac:dyDescent="0.25">
      <c r="A53" s="216" t="str">
        <f t="shared" si="36"/>
        <v/>
      </c>
      <c r="B53" s="217" t="str">
        <f t="shared" si="37"/>
        <v/>
      </c>
      <c r="C53" s="217" t="str">
        <f t="shared" si="38"/>
        <v/>
      </c>
      <c r="D53" s="217" t="str">
        <f t="shared" si="39"/>
        <v/>
      </c>
      <c r="E53" s="217" t="str">
        <f t="shared" si="40"/>
        <v/>
      </c>
      <c r="F53" s="217" t="str">
        <f t="shared" si="41"/>
        <v/>
      </c>
      <c r="G53" s="217" t="str">
        <f t="shared" si="42"/>
        <v/>
      </c>
      <c r="H53" s="218" t="str">
        <f t="shared" si="43"/>
        <v/>
      </c>
      <c r="I53" s="219" t="str">
        <f t="shared" si="44"/>
        <v/>
      </c>
      <c r="J53" s="219" t="str">
        <f t="shared" si="45"/>
        <v/>
      </c>
      <c r="K53" s="206" t="str">
        <f t="shared" si="46"/>
        <v/>
      </c>
      <c r="L53" s="272" t="str">
        <f t="shared" si="47"/>
        <v/>
      </c>
      <c r="M53" s="216">
        <f>IF(最早可退休日期!$D$2&lt;&gt;"職員",Y55,IF(AND($AS$3&lt;$AS$2,$AS$4&lt;$AS$2),Y55,IF($AS$3&lt;$AS$2,Y54,Y53)))</f>
        <v>133</v>
      </c>
      <c r="N53" s="217" t="str">
        <f>IF(最早可退休日期!$D$2&lt;&gt;"職員",Z55,IF(AND($AS$3&lt;$AS$2,$AS$4&lt;$AS$2),Z55,IF($AS$3&lt;$AS$2,Z54,Z53)))</f>
        <v>無</v>
      </c>
      <c r="O53" s="217">
        <f>IF(最早可退休日期!$D$2&lt;&gt;"職員",AA55,IF(AND($AS$3&lt;$AS$2,$AS$4&lt;$AS$2),AA55,IF($AS$3&lt;$AS$2,AA54,AA53)))</f>
        <v>58</v>
      </c>
      <c r="P53" s="217">
        <f>IF(最早可退休日期!$D$2&lt;&gt;"職員",AB55,IF(AND($AS$3&lt;$AS$2,$AS$4&lt;$AS$2),AB55,IF($AS$3&lt;$AS$2,AB54,AB53)))</f>
        <v>55</v>
      </c>
      <c r="Q53" s="217">
        <f>IF(最早可退休日期!$D$2&lt;&gt;"職員",AC55,IF(AND($AS$3&lt;$AS$2,$AS$4&lt;$AS$2),AC55,IF($AS$3&lt;$AS$2,AC54,AC53)))</f>
        <v>133</v>
      </c>
      <c r="R53" s="217" t="e">
        <f>IF(最早可退休日期!$D$2&lt;&gt;"職員",AD55,IF(AND($AS$3&lt;$AS$2,$AS$4&lt;$AS$2),AD55,IF($AS$3&lt;$AS$2,AD54,AD53)))</f>
        <v>#VALUE!</v>
      </c>
      <c r="S53" s="217" t="e">
        <f>IF(最早可退休日期!$D$2&lt;&gt;"職員",AE55,IF(AND($AS$3&lt;$AS$2,$AS$4&lt;$AS$2),AE55,IF($AS$3&lt;$AS$2,AE54,AE53)))</f>
        <v>#VALUE!</v>
      </c>
      <c r="T53" s="218" t="str">
        <f>IF(最早可退休日期!$D$2&lt;&gt;"職員",AF55,IF(AND($AS$3&lt;$AS$2,$AS$4&lt;$AS$2),AF55,IF($AS$3&lt;$AS$2,AF54,AF53)))</f>
        <v>133年2月1日</v>
      </c>
      <c r="U53" s="219" t="e">
        <f>IF(最早可退休日期!$D$2&lt;&gt;"職員",AG55,IF(AND($AS$3&lt;$AS$2,$AS$4&lt;$AS$2),AG55,IF($AS$3&lt;$AS$2,AG54,AG53)))</f>
        <v>#VALUE!</v>
      </c>
      <c r="V53" s="219" t="e">
        <f>IF(最早可退休日期!$D$2&lt;&gt;"職員",AH55,IF(AND($AS$3&lt;$AS$2,$AS$4&lt;$AS$2),AH55,IF($AS$3&lt;$AS$2,AH54,AH53)))</f>
        <v>#VALUE!</v>
      </c>
      <c r="W53" s="206" t="e">
        <f>IF(最早可退休日期!$D$2&lt;&gt;"職員",AI55,IF(AND($AS$3&lt;$AS$2,$AS$4&lt;$AS$2),AI55,IF($AS$3&lt;$AS$2,AI54,AI53)))</f>
        <v>#VALUE!</v>
      </c>
      <c r="X53" s="207" t="e">
        <f>IF(最早可退休日期!$D$2&lt;&gt;"職員",AJ55,IF(AND($AS$3&lt;$AS$2,$AS$4&lt;$AS$2),AJ55,IF($AS$3&lt;$AS$2,AJ54,AJ53)))</f>
        <v>#VALUE!</v>
      </c>
      <c r="Y53" s="217">
        <f t="shared" si="61"/>
        <v>132</v>
      </c>
      <c r="Z53" s="217" t="str">
        <f t="shared" si="31"/>
        <v>無</v>
      </c>
      <c r="AA53" s="217">
        <f>IF(最早退休日期!$B$1="中等以下教師",58,IF(Y53&gt;=122,65,IF(Y53&lt;107,50,VLOOKUP(Y53,Legal_Year,3,0))))</f>
        <v>58</v>
      </c>
      <c r="AB53" s="217">
        <f t="shared" si="87"/>
        <v>55</v>
      </c>
      <c r="AC53" s="217">
        <f t="shared" si="62"/>
        <v>132</v>
      </c>
      <c r="AD53" s="217" t="e">
        <f t="shared" si="63"/>
        <v>#VALUE!</v>
      </c>
      <c r="AE53" s="217" t="e">
        <f t="shared" si="88"/>
        <v>#VALUE!</v>
      </c>
      <c r="AF53" s="227" t="str">
        <f t="shared" si="64"/>
        <v>132年2月1日</v>
      </c>
      <c r="AG53" s="219" t="e">
        <f t="shared" si="65"/>
        <v>#VALUE!</v>
      </c>
      <c r="AH53" s="219" t="e">
        <f t="shared" si="66"/>
        <v>#VALUE!</v>
      </c>
      <c r="AI53" s="206" t="e">
        <f t="shared" si="67"/>
        <v>#VALUE!</v>
      </c>
      <c r="AJ53" s="207" t="e">
        <f t="shared" si="68"/>
        <v>#VALUE!</v>
      </c>
      <c r="AK53" s="217">
        <f t="shared" si="48"/>
        <v>132</v>
      </c>
      <c r="AL53" s="217" t="e">
        <f t="shared" si="69"/>
        <v>#VALUE!</v>
      </c>
      <c r="AM53" s="220" t="e">
        <f t="shared" si="70"/>
        <v>#VALUE!</v>
      </c>
      <c r="AN53" s="220" t="e">
        <f t="shared" si="71"/>
        <v>#VALUE!</v>
      </c>
      <c r="AO53" s="220" t="e">
        <f t="shared" si="72"/>
        <v>#VALUE!</v>
      </c>
      <c r="AP53" s="221" t="e">
        <f t="shared" si="73"/>
        <v>#VALUE!</v>
      </c>
      <c r="AQ53" s="221" t="e">
        <f t="shared" si="74"/>
        <v>#VALUE!</v>
      </c>
      <c r="AR53" s="222" t="e">
        <f t="shared" si="75"/>
        <v>#VALUE!</v>
      </c>
      <c r="AS53" s="223">
        <f>IF(最早退休日期!$B$2="職員",MIN(IF(ISERROR(DATEVALUE(CONCATENATE(AK53+1911,"/",$AA$1000,"/",$AB$1000))),DATEVALUE(CONCATENATE(AK53+1911,"/",3,"/",1)),DATEVALUE(CONCATENATE(AK53+1911,"/",$AA$1000,"/",$AB$1000))),AR53),DATEVALUE(CONCATENATE(AK53+1911,"/2/1")))</f>
        <v>52263</v>
      </c>
      <c r="AT53" s="224" t="e">
        <f t="shared" si="76"/>
        <v>#VALUE!</v>
      </c>
      <c r="AU53" s="224" t="e">
        <f t="shared" si="77"/>
        <v>#VALUE!</v>
      </c>
      <c r="AV53" s="224" t="e">
        <f t="shared" si="89"/>
        <v>#VALUE!</v>
      </c>
      <c r="AW53" s="224" t="e">
        <f t="shared" si="78"/>
        <v>#VALUE!</v>
      </c>
      <c r="AX53" s="224" t="b">
        <f t="shared" si="79"/>
        <v>1</v>
      </c>
      <c r="AY53" s="224" t="e">
        <f t="shared" si="80"/>
        <v>#VALUE!</v>
      </c>
      <c r="AZ53" s="224" t="b">
        <f t="shared" si="81"/>
        <v>1</v>
      </c>
      <c r="BA53" s="224" t="e">
        <f t="shared" si="90"/>
        <v>#VALUE!</v>
      </c>
      <c r="BB53" s="224" t="e">
        <f t="shared" si="91"/>
        <v>#VALUE!</v>
      </c>
      <c r="BC53" s="224" t="e">
        <f t="shared" si="92"/>
        <v>#VALUE!</v>
      </c>
      <c r="BD53" s="225" t="e">
        <f t="shared" si="82"/>
        <v>#VALUE!</v>
      </c>
      <c r="BE53" s="225" t="e">
        <f t="shared" si="83"/>
        <v>#VALUE!</v>
      </c>
      <c r="BF53" s="225" t="e">
        <f t="shared" si="84"/>
        <v>#VALUE!</v>
      </c>
      <c r="BG53" s="226" t="e">
        <f t="shared" si="85"/>
        <v>#VALUE!</v>
      </c>
      <c r="BH53" s="227" t="e">
        <f t="shared" si="86"/>
        <v>#VALUE!</v>
      </c>
    </row>
    <row r="54" spans="1:60" x14ac:dyDescent="0.25">
      <c r="A54" s="216" t="str">
        <f t="shared" si="36"/>
        <v/>
      </c>
      <c r="B54" s="217" t="str">
        <f t="shared" si="37"/>
        <v/>
      </c>
      <c r="C54" s="217" t="str">
        <f t="shared" si="38"/>
        <v/>
      </c>
      <c r="D54" s="217" t="str">
        <f t="shared" si="39"/>
        <v/>
      </c>
      <c r="E54" s="217" t="str">
        <f t="shared" si="40"/>
        <v/>
      </c>
      <c r="F54" s="217" t="str">
        <f t="shared" si="41"/>
        <v/>
      </c>
      <c r="G54" s="217" t="str">
        <f t="shared" si="42"/>
        <v/>
      </c>
      <c r="H54" s="218" t="str">
        <f t="shared" si="43"/>
        <v/>
      </c>
      <c r="I54" s="219" t="str">
        <f t="shared" si="44"/>
        <v/>
      </c>
      <c r="J54" s="219" t="str">
        <f t="shared" si="45"/>
        <v/>
      </c>
      <c r="K54" s="206" t="str">
        <f t="shared" si="46"/>
        <v/>
      </c>
      <c r="L54" s="272" t="str">
        <f t="shared" si="47"/>
        <v/>
      </c>
      <c r="M54" s="216">
        <f>IF(最早可退休日期!$D$2&lt;&gt;"職員",Y56,IF(AND($AS$3&lt;$AS$2,$AS$4&lt;$AS$2),Y56,IF($AS$3&lt;$AS$2,Y55,Y54)))</f>
        <v>133</v>
      </c>
      <c r="N54" s="217" t="str">
        <f>IF(最早可退休日期!$D$2&lt;&gt;"職員",Z56,IF(AND($AS$3&lt;$AS$2,$AS$4&lt;$AS$2),Z56,IF($AS$3&lt;$AS$2,Z55,Z54)))</f>
        <v>無</v>
      </c>
      <c r="O54" s="217">
        <f>IF(最早可退休日期!$D$2&lt;&gt;"職員",AA56,IF(AND($AS$3&lt;$AS$2,$AS$4&lt;$AS$2),AA56,IF($AS$3&lt;$AS$2,AA55,AA54)))</f>
        <v>58</v>
      </c>
      <c r="P54" s="217">
        <f>IF(最早可退休日期!$D$2&lt;&gt;"職員",AB56,IF(AND($AS$3&lt;$AS$2,$AS$4&lt;$AS$2),AB56,IF($AS$3&lt;$AS$2,AB55,AB54)))</f>
        <v>55</v>
      </c>
      <c r="Q54" s="217">
        <f>IF(最早可退休日期!$D$2&lt;&gt;"職員",AC56,IF(AND($AS$3&lt;$AS$2,$AS$4&lt;$AS$2),AC56,IF($AS$3&lt;$AS$2,AC55,AC54)))</f>
        <v>133</v>
      </c>
      <c r="R54" s="217" t="e">
        <f>IF(最早可退休日期!$D$2&lt;&gt;"職員",AD56,IF(AND($AS$3&lt;$AS$2,$AS$4&lt;$AS$2),AD56,IF($AS$3&lt;$AS$2,AD55,AD54)))</f>
        <v>#VALUE!</v>
      </c>
      <c r="S54" s="217" t="e">
        <f>IF(最早可退休日期!$D$2&lt;&gt;"職員",AE56,IF(AND($AS$3&lt;$AS$2,$AS$4&lt;$AS$2),AE56,IF($AS$3&lt;$AS$2,AE55,AE54)))</f>
        <v>#VALUE!</v>
      </c>
      <c r="T54" s="218" t="str">
        <f>IF(最早可退休日期!$D$2&lt;&gt;"職員",AF56,IF(AND($AS$3&lt;$AS$2,$AS$4&lt;$AS$2),AF56,IF($AS$3&lt;$AS$2,AF55,AF54)))</f>
        <v>133年8月1日</v>
      </c>
      <c r="U54" s="219" t="e">
        <f>IF(最早可退休日期!$D$2&lt;&gt;"職員",AG56,IF(AND($AS$3&lt;$AS$2,$AS$4&lt;$AS$2),AG56,IF($AS$3&lt;$AS$2,AG55,AG54)))</f>
        <v>#VALUE!</v>
      </c>
      <c r="V54" s="219" t="e">
        <f>IF(最早可退休日期!$D$2&lt;&gt;"職員",AH56,IF(AND($AS$3&lt;$AS$2,$AS$4&lt;$AS$2),AH56,IF($AS$3&lt;$AS$2,AH55,AH54)))</f>
        <v>#VALUE!</v>
      </c>
      <c r="W54" s="206" t="e">
        <f>IF(最早可退休日期!$D$2&lt;&gt;"職員",AI56,IF(AND($AS$3&lt;$AS$2,$AS$4&lt;$AS$2),AI56,IF($AS$3&lt;$AS$2,AI55,AI54)))</f>
        <v>#VALUE!</v>
      </c>
      <c r="X54" s="207" t="e">
        <f>IF(最早可退休日期!$D$2&lt;&gt;"職員",AJ56,IF(AND($AS$3&lt;$AS$2,$AS$4&lt;$AS$2),AJ56,IF($AS$3&lt;$AS$2,AJ55,AJ54)))</f>
        <v>#VALUE!</v>
      </c>
      <c r="Y54" s="217">
        <f t="shared" si="61"/>
        <v>132</v>
      </c>
      <c r="Z54" s="217" t="str">
        <f t="shared" si="31"/>
        <v>無</v>
      </c>
      <c r="AA54" s="217">
        <f>IF(最早退休日期!$B$1="中等以下教師",58,IF(Y54&gt;=122,65,IF(Y54&lt;107,50,VLOOKUP(Y54,Legal_Year,3,0))))</f>
        <v>58</v>
      </c>
      <c r="AB54" s="217">
        <f t="shared" si="87"/>
        <v>55</v>
      </c>
      <c r="AC54" s="217">
        <f t="shared" si="62"/>
        <v>132</v>
      </c>
      <c r="AD54" s="217" t="e">
        <f t="shared" si="63"/>
        <v>#VALUE!</v>
      </c>
      <c r="AE54" s="217" t="e">
        <f t="shared" si="88"/>
        <v>#VALUE!</v>
      </c>
      <c r="AF54" s="227" t="str">
        <f t="shared" si="64"/>
        <v>132年8月1日</v>
      </c>
      <c r="AG54" s="219" t="e">
        <f t="shared" si="65"/>
        <v>#VALUE!</v>
      </c>
      <c r="AH54" s="219" t="e">
        <f t="shared" si="66"/>
        <v>#VALUE!</v>
      </c>
      <c r="AI54" s="206" t="e">
        <f t="shared" si="67"/>
        <v>#VALUE!</v>
      </c>
      <c r="AJ54" s="207" t="e">
        <f t="shared" si="68"/>
        <v>#VALUE!</v>
      </c>
      <c r="AK54" s="217">
        <f t="shared" si="48"/>
        <v>132</v>
      </c>
      <c r="AL54" s="217" t="e">
        <f t="shared" si="69"/>
        <v>#VALUE!</v>
      </c>
      <c r="AM54" s="220" t="e">
        <f t="shared" si="70"/>
        <v>#VALUE!</v>
      </c>
      <c r="AN54" s="220" t="e">
        <f t="shared" si="71"/>
        <v>#VALUE!</v>
      </c>
      <c r="AO54" s="220" t="e">
        <f t="shared" si="72"/>
        <v>#VALUE!</v>
      </c>
      <c r="AP54" s="221" t="e">
        <f t="shared" si="73"/>
        <v>#VALUE!</v>
      </c>
      <c r="AQ54" s="221" t="e">
        <f t="shared" si="74"/>
        <v>#VALUE!</v>
      </c>
      <c r="AR54" s="222" t="e">
        <f t="shared" si="75"/>
        <v>#VALUE!</v>
      </c>
      <c r="AS54" s="223">
        <f>IF(最早退休日期!$B$2="職員",MAX(IF(ISERROR(DATEVALUE(CONCATENATE(AK54+1911,"/",$AA$1000,"/",$AB$1000))),DATEVALUE(CONCATENATE(AK54+1911,"/",3,"/",1)),DATEVALUE(CONCATENATE(AK54+1911,"/",$AA$1000,"/",$AB$1000))),AR54),DATEVALUE(CONCATENATE(AK54+1911,"/8/1")))</f>
        <v>52444</v>
      </c>
      <c r="AT54" s="224" t="e">
        <f t="shared" si="76"/>
        <v>#VALUE!</v>
      </c>
      <c r="AU54" s="224" t="e">
        <f t="shared" si="77"/>
        <v>#VALUE!</v>
      </c>
      <c r="AV54" s="224" t="e">
        <f t="shared" si="89"/>
        <v>#VALUE!</v>
      </c>
      <c r="AW54" s="224" t="e">
        <f t="shared" si="78"/>
        <v>#VALUE!</v>
      </c>
      <c r="AX54" s="224" t="b">
        <f t="shared" si="79"/>
        <v>1</v>
      </c>
      <c r="AY54" s="224" t="e">
        <f t="shared" si="80"/>
        <v>#VALUE!</v>
      </c>
      <c r="AZ54" s="224" t="b">
        <f t="shared" si="81"/>
        <v>1</v>
      </c>
      <c r="BA54" s="224" t="e">
        <f t="shared" si="90"/>
        <v>#VALUE!</v>
      </c>
      <c r="BB54" s="224" t="e">
        <f t="shared" si="91"/>
        <v>#VALUE!</v>
      </c>
      <c r="BC54" s="224" t="e">
        <f t="shared" si="92"/>
        <v>#VALUE!</v>
      </c>
      <c r="BD54" s="225" t="e">
        <f t="shared" si="82"/>
        <v>#VALUE!</v>
      </c>
      <c r="BE54" s="225" t="e">
        <f t="shared" si="83"/>
        <v>#VALUE!</v>
      </c>
      <c r="BF54" s="225" t="e">
        <f t="shared" si="84"/>
        <v>#VALUE!</v>
      </c>
      <c r="BG54" s="226" t="e">
        <f t="shared" si="85"/>
        <v>#VALUE!</v>
      </c>
      <c r="BH54" s="227" t="e">
        <f t="shared" si="86"/>
        <v>#VALUE!</v>
      </c>
    </row>
    <row r="55" spans="1:60" x14ac:dyDescent="0.25">
      <c r="A55" s="216" t="str">
        <f t="shared" si="36"/>
        <v/>
      </c>
      <c r="B55" s="217" t="str">
        <f t="shared" si="37"/>
        <v/>
      </c>
      <c r="C55" s="217" t="str">
        <f t="shared" si="38"/>
        <v/>
      </c>
      <c r="D55" s="217" t="str">
        <f t="shared" si="39"/>
        <v/>
      </c>
      <c r="E55" s="217" t="str">
        <f t="shared" si="40"/>
        <v/>
      </c>
      <c r="F55" s="217" t="str">
        <f t="shared" si="41"/>
        <v/>
      </c>
      <c r="G55" s="217" t="str">
        <f t="shared" si="42"/>
        <v/>
      </c>
      <c r="H55" s="218" t="str">
        <f t="shared" si="43"/>
        <v/>
      </c>
      <c r="I55" s="219" t="str">
        <f t="shared" si="44"/>
        <v/>
      </c>
      <c r="J55" s="219" t="str">
        <f t="shared" si="45"/>
        <v/>
      </c>
      <c r="K55" s="206" t="str">
        <f t="shared" si="46"/>
        <v/>
      </c>
      <c r="L55" s="272" t="str">
        <f t="shared" si="47"/>
        <v/>
      </c>
      <c r="M55" s="216">
        <f>IF(最早可退休日期!$D$2&lt;&gt;"職員",Y57,IF(AND($AS$3&lt;$AS$2,$AS$4&lt;$AS$2),Y57,IF($AS$3&lt;$AS$2,Y56,Y55)))</f>
        <v>134</v>
      </c>
      <c r="N55" s="217" t="str">
        <f>IF(最早可退休日期!$D$2&lt;&gt;"職員",Z57,IF(AND($AS$3&lt;$AS$2,$AS$4&lt;$AS$2),Z57,IF($AS$3&lt;$AS$2,Z56,Z55)))</f>
        <v>無</v>
      </c>
      <c r="O55" s="217">
        <f>IF(最早可退休日期!$D$2&lt;&gt;"職員",AA57,IF(AND($AS$3&lt;$AS$2,$AS$4&lt;$AS$2),AA57,IF($AS$3&lt;$AS$2,AA56,AA55)))</f>
        <v>58</v>
      </c>
      <c r="P55" s="217">
        <f>IF(最早可退休日期!$D$2&lt;&gt;"職員",AB57,IF(AND($AS$3&lt;$AS$2,$AS$4&lt;$AS$2),AB57,IF($AS$3&lt;$AS$2,AB56,AB55)))</f>
        <v>55</v>
      </c>
      <c r="Q55" s="217">
        <f>IF(最早可退休日期!$D$2&lt;&gt;"職員",AC57,IF(AND($AS$3&lt;$AS$2,$AS$4&lt;$AS$2),AC57,IF($AS$3&lt;$AS$2,AC56,AC55)))</f>
        <v>134</v>
      </c>
      <c r="R55" s="217" t="e">
        <f>IF(最早可退休日期!$D$2&lt;&gt;"職員",AD57,IF(AND($AS$3&lt;$AS$2,$AS$4&lt;$AS$2),AD57,IF($AS$3&lt;$AS$2,AD56,AD55)))</f>
        <v>#VALUE!</v>
      </c>
      <c r="S55" s="217" t="e">
        <f>IF(最早可退休日期!$D$2&lt;&gt;"職員",AE57,IF(AND($AS$3&lt;$AS$2,$AS$4&lt;$AS$2),AE57,IF($AS$3&lt;$AS$2,AE56,AE55)))</f>
        <v>#VALUE!</v>
      </c>
      <c r="T55" s="218" t="str">
        <f>IF(最早可退休日期!$D$2&lt;&gt;"職員",AF57,IF(AND($AS$3&lt;$AS$2,$AS$4&lt;$AS$2),AF57,IF($AS$3&lt;$AS$2,AF56,AF55)))</f>
        <v>134年2月1日</v>
      </c>
      <c r="U55" s="219" t="e">
        <f>IF(最早可退休日期!$D$2&lt;&gt;"職員",AG57,IF(AND($AS$3&lt;$AS$2,$AS$4&lt;$AS$2),AG57,IF($AS$3&lt;$AS$2,AG56,AG55)))</f>
        <v>#VALUE!</v>
      </c>
      <c r="V55" s="219" t="e">
        <f>IF(最早可退休日期!$D$2&lt;&gt;"職員",AH57,IF(AND($AS$3&lt;$AS$2,$AS$4&lt;$AS$2),AH57,IF($AS$3&lt;$AS$2,AH56,AH55)))</f>
        <v>#VALUE!</v>
      </c>
      <c r="W55" s="206" t="e">
        <f>IF(最早可退休日期!$D$2&lt;&gt;"職員",AI57,IF(AND($AS$3&lt;$AS$2,$AS$4&lt;$AS$2),AI57,IF($AS$3&lt;$AS$2,AI56,AI55)))</f>
        <v>#VALUE!</v>
      </c>
      <c r="X55" s="207" t="e">
        <f>IF(最早可退休日期!$D$2&lt;&gt;"職員",AJ57,IF(AND($AS$3&lt;$AS$2,$AS$4&lt;$AS$2),AJ57,IF($AS$3&lt;$AS$2,AJ56,AJ55)))</f>
        <v>#VALUE!</v>
      </c>
      <c r="Y55" s="217">
        <f t="shared" si="61"/>
        <v>133</v>
      </c>
      <c r="Z55" s="217" t="str">
        <f t="shared" si="31"/>
        <v>無</v>
      </c>
      <c r="AA55" s="217">
        <f>IF(最早退休日期!$B$1="中等以下教師",58,IF(Y55&gt;=122,65,IF(Y55&lt;107,50,VLOOKUP(Y55,Legal_Year,3,0))))</f>
        <v>58</v>
      </c>
      <c r="AB55" s="217">
        <f t="shared" si="87"/>
        <v>55</v>
      </c>
      <c r="AC55" s="217">
        <f t="shared" si="62"/>
        <v>133</v>
      </c>
      <c r="AD55" s="217" t="e">
        <f t="shared" si="63"/>
        <v>#VALUE!</v>
      </c>
      <c r="AE55" s="217" t="e">
        <f t="shared" si="88"/>
        <v>#VALUE!</v>
      </c>
      <c r="AF55" s="227" t="str">
        <f t="shared" si="64"/>
        <v>133年2月1日</v>
      </c>
      <c r="AG55" s="219" t="e">
        <f t="shared" si="65"/>
        <v>#VALUE!</v>
      </c>
      <c r="AH55" s="219" t="e">
        <f t="shared" si="66"/>
        <v>#VALUE!</v>
      </c>
      <c r="AI55" s="206" t="e">
        <f t="shared" si="67"/>
        <v>#VALUE!</v>
      </c>
      <c r="AJ55" s="207" t="e">
        <f t="shared" si="68"/>
        <v>#VALUE!</v>
      </c>
      <c r="AK55" s="217">
        <f t="shared" si="48"/>
        <v>133</v>
      </c>
      <c r="AL55" s="217" t="e">
        <f t="shared" si="69"/>
        <v>#VALUE!</v>
      </c>
      <c r="AM55" s="220" t="e">
        <f t="shared" si="70"/>
        <v>#VALUE!</v>
      </c>
      <c r="AN55" s="220" t="e">
        <f t="shared" si="71"/>
        <v>#VALUE!</v>
      </c>
      <c r="AO55" s="220" t="e">
        <f t="shared" si="72"/>
        <v>#VALUE!</v>
      </c>
      <c r="AP55" s="221" t="e">
        <f t="shared" si="73"/>
        <v>#VALUE!</v>
      </c>
      <c r="AQ55" s="221" t="e">
        <f t="shared" si="74"/>
        <v>#VALUE!</v>
      </c>
      <c r="AR55" s="222" t="e">
        <f t="shared" si="75"/>
        <v>#VALUE!</v>
      </c>
      <c r="AS55" s="223">
        <f>IF(最早退休日期!$B$2="職員",MIN(IF(ISERROR(DATEVALUE(CONCATENATE(AK55+1911,"/",$AA$1000,"/",$AB$1000))),DATEVALUE(CONCATENATE(AK55+1911,"/",3,"/",1)),DATEVALUE(CONCATENATE(AK55+1911,"/",$AA$1000,"/",$AB$1000))),AR55),DATEVALUE(CONCATENATE(AK55+1911,"/2/1")))</f>
        <v>52628</v>
      </c>
      <c r="AT55" s="224" t="e">
        <f t="shared" si="76"/>
        <v>#VALUE!</v>
      </c>
      <c r="AU55" s="224" t="e">
        <f t="shared" si="77"/>
        <v>#VALUE!</v>
      </c>
      <c r="AV55" s="224" t="e">
        <f t="shared" si="89"/>
        <v>#VALUE!</v>
      </c>
      <c r="AW55" s="224" t="e">
        <f t="shared" si="78"/>
        <v>#VALUE!</v>
      </c>
      <c r="AX55" s="224" t="b">
        <f t="shared" si="79"/>
        <v>1</v>
      </c>
      <c r="AY55" s="224" t="e">
        <f t="shared" si="80"/>
        <v>#VALUE!</v>
      </c>
      <c r="AZ55" s="224" t="b">
        <f t="shared" si="81"/>
        <v>1</v>
      </c>
      <c r="BA55" s="224" t="e">
        <f t="shared" si="90"/>
        <v>#VALUE!</v>
      </c>
      <c r="BB55" s="224" t="e">
        <f t="shared" si="91"/>
        <v>#VALUE!</v>
      </c>
      <c r="BC55" s="224" t="e">
        <f t="shared" si="92"/>
        <v>#VALUE!</v>
      </c>
      <c r="BD55" s="225" t="e">
        <f t="shared" si="82"/>
        <v>#VALUE!</v>
      </c>
      <c r="BE55" s="225" t="e">
        <f t="shared" si="83"/>
        <v>#VALUE!</v>
      </c>
      <c r="BF55" s="225" t="e">
        <f t="shared" si="84"/>
        <v>#VALUE!</v>
      </c>
      <c r="BG55" s="226" t="e">
        <f t="shared" si="85"/>
        <v>#VALUE!</v>
      </c>
      <c r="BH55" s="227" t="e">
        <f t="shared" si="86"/>
        <v>#VALUE!</v>
      </c>
    </row>
    <row r="56" spans="1:60" x14ac:dyDescent="0.25">
      <c r="A56" s="216" t="str">
        <f t="shared" si="36"/>
        <v/>
      </c>
      <c r="B56" s="217" t="str">
        <f t="shared" si="37"/>
        <v/>
      </c>
      <c r="C56" s="217" t="str">
        <f t="shared" si="38"/>
        <v/>
      </c>
      <c r="D56" s="217" t="str">
        <f t="shared" si="39"/>
        <v/>
      </c>
      <c r="E56" s="217" t="str">
        <f t="shared" si="40"/>
        <v/>
      </c>
      <c r="F56" s="217" t="str">
        <f t="shared" si="41"/>
        <v/>
      </c>
      <c r="G56" s="217" t="str">
        <f t="shared" si="42"/>
        <v/>
      </c>
      <c r="H56" s="218" t="str">
        <f t="shared" si="43"/>
        <v/>
      </c>
      <c r="I56" s="219" t="str">
        <f t="shared" si="44"/>
        <v/>
      </c>
      <c r="J56" s="219" t="str">
        <f t="shared" si="45"/>
        <v/>
      </c>
      <c r="K56" s="206" t="str">
        <f t="shared" si="46"/>
        <v/>
      </c>
      <c r="L56" s="272" t="str">
        <f t="shared" si="47"/>
        <v/>
      </c>
      <c r="M56" s="216">
        <f>IF(最早可退休日期!$D$2&lt;&gt;"職員",Y58,IF(AND($AS$3&lt;$AS$2,$AS$4&lt;$AS$2),Y58,IF($AS$3&lt;$AS$2,Y57,Y56)))</f>
        <v>134</v>
      </c>
      <c r="N56" s="217" t="str">
        <f>IF(最早可退休日期!$D$2&lt;&gt;"職員",Z58,IF(AND($AS$3&lt;$AS$2,$AS$4&lt;$AS$2),Z58,IF($AS$3&lt;$AS$2,Z57,Z56)))</f>
        <v>無</v>
      </c>
      <c r="O56" s="217">
        <f>IF(最早可退休日期!$D$2&lt;&gt;"職員",AA58,IF(AND($AS$3&lt;$AS$2,$AS$4&lt;$AS$2),AA58,IF($AS$3&lt;$AS$2,AA57,AA56)))</f>
        <v>58</v>
      </c>
      <c r="P56" s="217">
        <f>IF(最早可退休日期!$D$2&lt;&gt;"職員",AB58,IF(AND($AS$3&lt;$AS$2,$AS$4&lt;$AS$2),AB58,IF($AS$3&lt;$AS$2,AB57,AB56)))</f>
        <v>55</v>
      </c>
      <c r="Q56" s="217">
        <f>IF(最早可退休日期!$D$2&lt;&gt;"職員",AC58,IF(AND($AS$3&lt;$AS$2,$AS$4&lt;$AS$2),AC58,IF($AS$3&lt;$AS$2,AC57,AC56)))</f>
        <v>134</v>
      </c>
      <c r="R56" s="217" t="e">
        <f>IF(最早可退休日期!$D$2&lt;&gt;"職員",AD58,IF(AND($AS$3&lt;$AS$2,$AS$4&lt;$AS$2),AD58,IF($AS$3&lt;$AS$2,AD57,AD56)))</f>
        <v>#VALUE!</v>
      </c>
      <c r="S56" s="217" t="e">
        <f>IF(最早可退休日期!$D$2&lt;&gt;"職員",AE58,IF(AND($AS$3&lt;$AS$2,$AS$4&lt;$AS$2),AE58,IF($AS$3&lt;$AS$2,AE57,AE56)))</f>
        <v>#VALUE!</v>
      </c>
      <c r="T56" s="218" t="str">
        <f>IF(最早可退休日期!$D$2&lt;&gt;"職員",AF58,IF(AND($AS$3&lt;$AS$2,$AS$4&lt;$AS$2),AF58,IF($AS$3&lt;$AS$2,AF57,AF56)))</f>
        <v>134年8月1日</v>
      </c>
      <c r="U56" s="219" t="e">
        <f>IF(最早可退休日期!$D$2&lt;&gt;"職員",AG58,IF(AND($AS$3&lt;$AS$2,$AS$4&lt;$AS$2),AG58,IF($AS$3&lt;$AS$2,AG57,AG56)))</f>
        <v>#VALUE!</v>
      </c>
      <c r="V56" s="219" t="e">
        <f>IF(最早可退休日期!$D$2&lt;&gt;"職員",AH58,IF(AND($AS$3&lt;$AS$2,$AS$4&lt;$AS$2),AH58,IF($AS$3&lt;$AS$2,AH57,AH56)))</f>
        <v>#VALUE!</v>
      </c>
      <c r="W56" s="206" t="e">
        <f>IF(最早可退休日期!$D$2&lt;&gt;"職員",AI58,IF(AND($AS$3&lt;$AS$2,$AS$4&lt;$AS$2),AI58,IF($AS$3&lt;$AS$2,AI57,AI56)))</f>
        <v>#VALUE!</v>
      </c>
      <c r="X56" s="207" t="e">
        <f>IF(最早可退休日期!$D$2&lt;&gt;"職員",AJ58,IF(AND($AS$3&lt;$AS$2,$AS$4&lt;$AS$2),AJ58,IF($AS$3&lt;$AS$2,AJ57,AJ56)))</f>
        <v>#VALUE!</v>
      </c>
      <c r="Y56" s="217">
        <f t="shared" si="61"/>
        <v>133</v>
      </c>
      <c r="Z56" s="217" t="str">
        <f t="shared" si="31"/>
        <v>無</v>
      </c>
      <c r="AA56" s="217">
        <f>IF(最早退休日期!$B$1="中等以下教師",58,IF(Y56&gt;=122,65,IF(Y56&lt;107,50,VLOOKUP(Y56,Legal_Year,3,0))))</f>
        <v>58</v>
      </c>
      <c r="AB56" s="217">
        <f t="shared" si="87"/>
        <v>55</v>
      </c>
      <c r="AC56" s="217">
        <f t="shared" si="62"/>
        <v>133</v>
      </c>
      <c r="AD56" s="217" t="e">
        <f t="shared" si="63"/>
        <v>#VALUE!</v>
      </c>
      <c r="AE56" s="217" t="e">
        <f t="shared" si="88"/>
        <v>#VALUE!</v>
      </c>
      <c r="AF56" s="227" t="str">
        <f t="shared" si="64"/>
        <v>133年8月1日</v>
      </c>
      <c r="AG56" s="219" t="e">
        <f t="shared" si="65"/>
        <v>#VALUE!</v>
      </c>
      <c r="AH56" s="219" t="e">
        <f t="shared" si="66"/>
        <v>#VALUE!</v>
      </c>
      <c r="AI56" s="206" t="e">
        <f t="shared" si="67"/>
        <v>#VALUE!</v>
      </c>
      <c r="AJ56" s="207" t="e">
        <f t="shared" si="68"/>
        <v>#VALUE!</v>
      </c>
      <c r="AK56" s="217">
        <f t="shared" si="48"/>
        <v>133</v>
      </c>
      <c r="AL56" s="217" t="e">
        <f t="shared" si="69"/>
        <v>#VALUE!</v>
      </c>
      <c r="AM56" s="220" t="e">
        <f t="shared" si="70"/>
        <v>#VALUE!</v>
      </c>
      <c r="AN56" s="220" t="e">
        <f t="shared" si="71"/>
        <v>#VALUE!</v>
      </c>
      <c r="AO56" s="220" t="e">
        <f t="shared" si="72"/>
        <v>#VALUE!</v>
      </c>
      <c r="AP56" s="221" t="e">
        <f t="shared" si="73"/>
        <v>#VALUE!</v>
      </c>
      <c r="AQ56" s="221" t="e">
        <f t="shared" si="74"/>
        <v>#VALUE!</v>
      </c>
      <c r="AR56" s="222" t="e">
        <f t="shared" si="75"/>
        <v>#VALUE!</v>
      </c>
      <c r="AS56" s="223">
        <f>IF(最早退休日期!$B$2="職員",MAX(IF(ISERROR(DATEVALUE(CONCATENATE(AK56+1911,"/",$AA$1000,"/",$AB$1000))),DATEVALUE(CONCATENATE(AK56+1911,"/",3,"/",1)),DATEVALUE(CONCATENATE(AK56+1911,"/",$AA$1000,"/",$AB$1000))),AR56),DATEVALUE(CONCATENATE(AK56+1911,"/8/1")))</f>
        <v>52810</v>
      </c>
      <c r="AT56" s="224" t="e">
        <f t="shared" si="76"/>
        <v>#VALUE!</v>
      </c>
      <c r="AU56" s="224" t="e">
        <f t="shared" si="77"/>
        <v>#VALUE!</v>
      </c>
      <c r="AV56" s="224" t="e">
        <f t="shared" si="89"/>
        <v>#VALUE!</v>
      </c>
      <c r="AW56" s="224" t="e">
        <f t="shared" si="78"/>
        <v>#VALUE!</v>
      </c>
      <c r="AX56" s="224" t="b">
        <f t="shared" si="79"/>
        <v>1</v>
      </c>
      <c r="AY56" s="224" t="e">
        <f t="shared" si="80"/>
        <v>#VALUE!</v>
      </c>
      <c r="AZ56" s="224" t="b">
        <f t="shared" si="81"/>
        <v>1</v>
      </c>
      <c r="BA56" s="224" t="e">
        <f t="shared" si="90"/>
        <v>#VALUE!</v>
      </c>
      <c r="BB56" s="224" t="e">
        <f t="shared" si="91"/>
        <v>#VALUE!</v>
      </c>
      <c r="BC56" s="224" t="e">
        <f t="shared" si="92"/>
        <v>#VALUE!</v>
      </c>
      <c r="BD56" s="225" t="e">
        <f t="shared" si="82"/>
        <v>#VALUE!</v>
      </c>
      <c r="BE56" s="225" t="e">
        <f t="shared" si="83"/>
        <v>#VALUE!</v>
      </c>
      <c r="BF56" s="225" t="e">
        <f t="shared" si="84"/>
        <v>#VALUE!</v>
      </c>
      <c r="BG56" s="226" t="e">
        <f t="shared" si="85"/>
        <v>#VALUE!</v>
      </c>
      <c r="BH56" s="227" t="e">
        <f t="shared" si="86"/>
        <v>#VALUE!</v>
      </c>
    </row>
    <row r="57" spans="1:60" x14ac:dyDescent="0.25">
      <c r="A57" s="216" t="str">
        <f t="shared" si="36"/>
        <v/>
      </c>
      <c r="B57" s="217" t="str">
        <f t="shared" si="37"/>
        <v/>
      </c>
      <c r="C57" s="217" t="str">
        <f t="shared" si="38"/>
        <v/>
      </c>
      <c r="D57" s="217" t="str">
        <f t="shared" si="39"/>
        <v/>
      </c>
      <c r="E57" s="217" t="str">
        <f t="shared" si="40"/>
        <v/>
      </c>
      <c r="F57" s="217" t="str">
        <f t="shared" si="41"/>
        <v/>
      </c>
      <c r="G57" s="217" t="str">
        <f t="shared" si="42"/>
        <v/>
      </c>
      <c r="H57" s="218" t="str">
        <f t="shared" si="43"/>
        <v/>
      </c>
      <c r="I57" s="219" t="str">
        <f t="shared" si="44"/>
        <v/>
      </c>
      <c r="J57" s="219" t="str">
        <f t="shared" si="45"/>
        <v/>
      </c>
      <c r="K57" s="206" t="str">
        <f t="shared" si="46"/>
        <v/>
      </c>
      <c r="L57" s="272" t="str">
        <f t="shared" si="47"/>
        <v/>
      </c>
      <c r="M57" s="216">
        <f>IF(最早可退休日期!$D$2&lt;&gt;"職員",Y59,IF(AND($AS$3&lt;$AS$2,$AS$4&lt;$AS$2),Y59,IF($AS$3&lt;$AS$2,Y58,Y57)))</f>
        <v>135</v>
      </c>
      <c r="N57" s="217" t="str">
        <f>IF(最早可退休日期!$D$2&lt;&gt;"職員",Z59,IF(AND($AS$3&lt;$AS$2,$AS$4&lt;$AS$2),Z59,IF($AS$3&lt;$AS$2,Z58,Z57)))</f>
        <v>無</v>
      </c>
      <c r="O57" s="217">
        <f>IF(最早可退休日期!$D$2&lt;&gt;"職員",AA59,IF(AND($AS$3&lt;$AS$2,$AS$4&lt;$AS$2),AA59,IF($AS$3&lt;$AS$2,AA58,AA57)))</f>
        <v>58</v>
      </c>
      <c r="P57" s="217">
        <f>IF(最早可退休日期!$D$2&lt;&gt;"職員",AB59,IF(AND($AS$3&lt;$AS$2,$AS$4&lt;$AS$2),AB59,IF($AS$3&lt;$AS$2,AB58,AB57)))</f>
        <v>55</v>
      </c>
      <c r="Q57" s="217">
        <f>IF(最早可退休日期!$D$2&lt;&gt;"職員",AC59,IF(AND($AS$3&lt;$AS$2,$AS$4&lt;$AS$2),AC59,IF($AS$3&lt;$AS$2,AC58,AC57)))</f>
        <v>135</v>
      </c>
      <c r="R57" s="217" t="e">
        <f>IF(最早可退休日期!$D$2&lt;&gt;"職員",AD59,IF(AND($AS$3&lt;$AS$2,$AS$4&lt;$AS$2),AD59,IF($AS$3&lt;$AS$2,AD58,AD57)))</f>
        <v>#VALUE!</v>
      </c>
      <c r="S57" s="217" t="e">
        <f>IF(最早可退休日期!$D$2&lt;&gt;"職員",AE59,IF(AND($AS$3&lt;$AS$2,$AS$4&lt;$AS$2),AE59,IF($AS$3&lt;$AS$2,AE58,AE57)))</f>
        <v>#VALUE!</v>
      </c>
      <c r="T57" s="218" t="str">
        <f>IF(最早可退休日期!$D$2&lt;&gt;"職員",AF59,IF(AND($AS$3&lt;$AS$2,$AS$4&lt;$AS$2),AF59,IF($AS$3&lt;$AS$2,AF58,AF57)))</f>
        <v>135年2月1日</v>
      </c>
      <c r="U57" s="219" t="e">
        <f>IF(最早可退休日期!$D$2&lt;&gt;"職員",AG59,IF(AND($AS$3&lt;$AS$2,$AS$4&lt;$AS$2),AG59,IF($AS$3&lt;$AS$2,AG58,AG57)))</f>
        <v>#VALUE!</v>
      </c>
      <c r="V57" s="219" t="e">
        <f>IF(最早可退休日期!$D$2&lt;&gt;"職員",AH59,IF(AND($AS$3&lt;$AS$2,$AS$4&lt;$AS$2),AH59,IF($AS$3&lt;$AS$2,AH58,AH57)))</f>
        <v>#VALUE!</v>
      </c>
      <c r="W57" s="206" t="e">
        <f>IF(最早可退休日期!$D$2&lt;&gt;"職員",AI59,IF(AND($AS$3&lt;$AS$2,$AS$4&lt;$AS$2),AI59,IF($AS$3&lt;$AS$2,AI58,AI57)))</f>
        <v>#VALUE!</v>
      </c>
      <c r="X57" s="207" t="e">
        <f>IF(最早可退休日期!$D$2&lt;&gt;"職員",AJ59,IF(AND($AS$3&lt;$AS$2,$AS$4&lt;$AS$2),AJ59,IF($AS$3&lt;$AS$2,AJ58,AJ57)))</f>
        <v>#VALUE!</v>
      </c>
      <c r="Y57" s="217">
        <f t="shared" si="61"/>
        <v>134</v>
      </c>
      <c r="Z57" s="217" t="str">
        <f t="shared" si="31"/>
        <v>無</v>
      </c>
      <c r="AA57" s="217">
        <f>IF(最早退休日期!$B$1="中等以下教師",58,IF(Y57&gt;=122,65,IF(Y57&lt;107,50,VLOOKUP(Y57,Legal_Year,3,0))))</f>
        <v>58</v>
      </c>
      <c r="AB57" s="217">
        <f t="shared" si="87"/>
        <v>55</v>
      </c>
      <c r="AC57" s="217">
        <f t="shared" si="62"/>
        <v>134</v>
      </c>
      <c r="AD57" s="217" t="e">
        <f t="shared" si="63"/>
        <v>#VALUE!</v>
      </c>
      <c r="AE57" s="217" t="e">
        <f t="shared" si="88"/>
        <v>#VALUE!</v>
      </c>
      <c r="AF57" s="227" t="str">
        <f t="shared" si="64"/>
        <v>134年2月1日</v>
      </c>
      <c r="AG57" s="219" t="e">
        <f t="shared" si="65"/>
        <v>#VALUE!</v>
      </c>
      <c r="AH57" s="219" t="e">
        <f t="shared" si="66"/>
        <v>#VALUE!</v>
      </c>
      <c r="AI57" s="206" t="e">
        <f t="shared" si="67"/>
        <v>#VALUE!</v>
      </c>
      <c r="AJ57" s="207" t="e">
        <f t="shared" si="68"/>
        <v>#VALUE!</v>
      </c>
      <c r="AK57" s="217">
        <f t="shared" si="48"/>
        <v>134</v>
      </c>
      <c r="AL57" s="217" t="e">
        <f t="shared" si="69"/>
        <v>#VALUE!</v>
      </c>
      <c r="AM57" s="220" t="e">
        <f t="shared" si="70"/>
        <v>#VALUE!</v>
      </c>
      <c r="AN57" s="220" t="e">
        <f t="shared" si="71"/>
        <v>#VALUE!</v>
      </c>
      <c r="AO57" s="220" t="e">
        <f t="shared" si="72"/>
        <v>#VALUE!</v>
      </c>
      <c r="AP57" s="221" t="e">
        <f t="shared" si="73"/>
        <v>#VALUE!</v>
      </c>
      <c r="AQ57" s="221" t="e">
        <f t="shared" si="74"/>
        <v>#VALUE!</v>
      </c>
      <c r="AR57" s="222" t="e">
        <f t="shared" si="75"/>
        <v>#VALUE!</v>
      </c>
      <c r="AS57" s="223">
        <f>IF(最早退休日期!$B$2="職員",MIN(IF(ISERROR(DATEVALUE(CONCATENATE(AK57+1911,"/",$AA$1000,"/",$AB$1000))),DATEVALUE(CONCATENATE(AK57+1911,"/",3,"/",1)),DATEVALUE(CONCATENATE(AK57+1911,"/",$AA$1000,"/",$AB$1000))),AR57),DATEVALUE(CONCATENATE(AK57+1911,"/2/1")))</f>
        <v>52994</v>
      </c>
      <c r="AT57" s="224" t="e">
        <f t="shared" si="76"/>
        <v>#VALUE!</v>
      </c>
      <c r="AU57" s="224" t="e">
        <f t="shared" si="77"/>
        <v>#VALUE!</v>
      </c>
      <c r="AV57" s="224" t="e">
        <f t="shared" si="89"/>
        <v>#VALUE!</v>
      </c>
      <c r="AW57" s="224" t="e">
        <f t="shared" si="78"/>
        <v>#VALUE!</v>
      </c>
      <c r="AX57" s="224" t="b">
        <f t="shared" si="79"/>
        <v>1</v>
      </c>
      <c r="AY57" s="224" t="e">
        <f t="shared" si="80"/>
        <v>#VALUE!</v>
      </c>
      <c r="AZ57" s="224" t="b">
        <f t="shared" si="81"/>
        <v>1</v>
      </c>
      <c r="BA57" s="224" t="e">
        <f t="shared" si="90"/>
        <v>#VALUE!</v>
      </c>
      <c r="BB57" s="224" t="e">
        <f t="shared" si="91"/>
        <v>#VALUE!</v>
      </c>
      <c r="BC57" s="224" t="e">
        <f t="shared" si="92"/>
        <v>#VALUE!</v>
      </c>
      <c r="BD57" s="225" t="e">
        <f t="shared" si="82"/>
        <v>#VALUE!</v>
      </c>
      <c r="BE57" s="225" t="e">
        <f t="shared" si="83"/>
        <v>#VALUE!</v>
      </c>
      <c r="BF57" s="225" t="e">
        <f t="shared" si="84"/>
        <v>#VALUE!</v>
      </c>
      <c r="BG57" s="226" t="e">
        <f t="shared" si="85"/>
        <v>#VALUE!</v>
      </c>
      <c r="BH57" s="227" t="e">
        <f t="shared" si="86"/>
        <v>#VALUE!</v>
      </c>
    </row>
    <row r="58" spans="1:60" x14ac:dyDescent="0.25">
      <c r="A58" s="216" t="str">
        <f t="shared" si="36"/>
        <v/>
      </c>
      <c r="B58" s="217" t="str">
        <f t="shared" si="37"/>
        <v/>
      </c>
      <c r="C58" s="217" t="str">
        <f t="shared" si="38"/>
        <v/>
      </c>
      <c r="D58" s="217" t="str">
        <f t="shared" si="39"/>
        <v/>
      </c>
      <c r="E58" s="217" t="str">
        <f t="shared" si="40"/>
        <v/>
      </c>
      <c r="F58" s="217" t="str">
        <f t="shared" si="41"/>
        <v/>
      </c>
      <c r="G58" s="217" t="str">
        <f t="shared" si="42"/>
        <v/>
      </c>
      <c r="H58" s="218" t="str">
        <f t="shared" si="43"/>
        <v/>
      </c>
      <c r="I58" s="219" t="str">
        <f t="shared" si="44"/>
        <v/>
      </c>
      <c r="J58" s="219" t="str">
        <f t="shared" si="45"/>
        <v/>
      </c>
      <c r="K58" s="206" t="str">
        <f t="shared" si="46"/>
        <v/>
      </c>
      <c r="L58" s="272" t="str">
        <f t="shared" si="47"/>
        <v/>
      </c>
      <c r="M58" s="216">
        <f>IF(最早可退休日期!$D$2&lt;&gt;"職員",Y60,IF(AND($AS$3&lt;$AS$2,$AS$4&lt;$AS$2),Y60,IF($AS$3&lt;$AS$2,Y59,Y58)))</f>
        <v>135</v>
      </c>
      <c r="N58" s="217" t="str">
        <f>IF(最早可退休日期!$D$2&lt;&gt;"職員",Z60,IF(AND($AS$3&lt;$AS$2,$AS$4&lt;$AS$2),Z60,IF($AS$3&lt;$AS$2,Z59,Z58)))</f>
        <v>無</v>
      </c>
      <c r="O58" s="217">
        <f>IF(最早可退休日期!$D$2&lt;&gt;"職員",AA60,IF(AND($AS$3&lt;$AS$2,$AS$4&lt;$AS$2),AA60,IF($AS$3&lt;$AS$2,AA59,AA58)))</f>
        <v>58</v>
      </c>
      <c r="P58" s="217">
        <f>IF(最早可退休日期!$D$2&lt;&gt;"職員",AB60,IF(AND($AS$3&lt;$AS$2,$AS$4&lt;$AS$2),AB60,IF($AS$3&lt;$AS$2,AB59,AB58)))</f>
        <v>55</v>
      </c>
      <c r="Q58" s="217">
        <f>IF(最早可退休日期!$D$2&lt;&gt;"職員",AC60,IF(AND($AS$3&lt;$AS$2,$AS$4&lt;$AS$2),AC60,IF($AS$3&lt;$AS$2,AC59,AC58)))</f>
        <v>135</v>
      </c>
      <c r="R58" s="217" t="e">
        <f>IF(最早可退休日期!$D$2&lt;&gt;"職員",AD60,IF(AND($AS$3&lt;$AS$2,$AS$4&lt;$AS$2),AD60,IF($AS$3&lt;$AS$2,AD59,AD58)))</f>
        <v>#VALUE!</v>
      </c>
      <c r="S58" s="217" t="e">
        <f>IF(最早可退休日期!$D$2&lt;&gt;"職員",AE60,IF(AND($AS$3&lt;$AS$2,$AS$4&lt;$AS$2),AE60,IF($AS$3&lt;$AS$2,AE59,AE58)))</f>
        <v>#VALUE!</v>
      </c>
      <c r="T58" s="218" t="str">
        <f>IF(最早可退休日期!$D$2&lt;&gt;"職員",AF60,IF(AND($AS$3&lt;$AS$2,$AS$4&lt;$AS$2),AF60,IF($AS$3&lt;$AS$2,AF59,AF58)))</f>
        <v>135年8月1日</v>
      </c>
      <c r="U58" s="219" t="e">
        <f>IF(最早可退休日期!$D$2&lt;&gt;"職員",AG60,IF(AND($AS$3&lt;$AS$2,$AS$4&lt;$AS$2),AG60,IF($AS$3&lt;$AS$2,AG59,AG58)))</f>
        <v>#VALUE!</v>
      </c>
      <c r="V58" s="219" t="e">
        <f>IF(最早可退休日期!$D$2&lt;&gt;"職員",AH60,IF(AND($AS$3&lt;$AS$2,$AS$4&lt;$AS$2),AH60,IF($AS$3&lt;$AS$2,AH59,AH58)))</f>
        <v>#VALUE!</v>
      </c>
      <c r="W58" s="206" t="e">
        <f>IF(最早可退休日期!$D$2&lt;&gt;"職員",AI60,IF(AND($AS$3&lt;$AS$2,$AS$4&lt;$AS$2),AI60,IF($AS$3&lt;$AS$2,AI59,AI58)))</f>
        <v>#VALUE!</v>
      </c>
      <c r="X58" s="207" t="e">
        <f>IF(最早可退休日期!$D$2&lt;&gt;"職員",AJ60,IF(AND($AS$3&lt;$AS$2,$AS$4&lt;$AS$2),AJ60,IF($AS$3&lt;$AS$2,AJ59,AJ58)))</f>
        <v>#VALUE!</v>
      </c>
      <c r="Y58" s="217">
        <f t="shared" si="61"/>
        <v>134</v>
      </c>
      <c r="Z58" s="217" t="str">
        <f t="shared" si="31"/>
        <v>無</v>
      </c>
      <c r="AA58" s="217">
        <f>IF(最早退休日期!$B$1="中等以下教師",58,IF(Y58&gt;=122,65,IF(Y58&lt;107,50,VLOOKUP(Y58,Legal_Year,3,0))))</f>
        <v>58</v>
      </c>
      <c r="AB58" s="217">
        <f t="shared" si="87"/>
        <v>55</v>
      </c>
      <c r="AC58" s="217">
        <f t="shared" si="62"/>
        <v>134</v>
      </c>
      <c r="AD58" s="217" t="e">
        <f t="shared" si="63"/>
        <v>#VALUE!</v>
      </c>
      <c r="AE58" s="217" t="e">
        <f t="shared" si="88"/>
        <v>#VALUE!</v>
      </c>
      <c r="AF58" s="227" t="str">
        <f t="shared" si="64"/>
        <v>134年8月1日</v>
      </c>
      <c r="AG58" s="219" t="e">
        <f t="shared" si="65"/>
        <v>#VALUE!</v>
      </c>
      <c r="AH58" s="219" t="e">
        <f t="shared" si="66"/>
        <v>#VALUE!</v>
      </c>
      <c r="AI58" s="206" t="e">
        <f t="shared" si="67"/>
        <v>#VALUE!</v>
      </c>
      <c r="AJ58" s="207" t="e">
        <f t="shared" si="68"/>
        <v>#VALUE!</v>
      </c>
      <c r="AK58" s="217">
        <f t="shared" si="48"/>
        <v>134</v>
      </c>
      <c r="AL58" s="217" t="e">
        <f t="shared" si="69"/>
        <v>#VALUE!</v>
      </c>
      <c r="AM58" s="220" t="e">
        <f t="shared" si="70"/>
        <v>#VALUE!</v>
      </c>
      <c r="AN58" s="220" t="e">
        <f t="shared" si="71"/>
        <v>#VALUE!</v>
      </c>
      <c r="AO58" s="220" t="e">
        <f t="shared" si="72"/>
        <v>#VALUE!</v>
      </c>
      <c r="AP58" s="221" t="e">
        <f t="shared" si="73"/>
        <v>#VALUE!</v>
      </c>
      <c r="AQ58" s="221" t="e">
        <f t="shared" si="74"/>
        <v>#VALUE!</v>
      </c>
      <c r="AR58" s="222" t="e">
        <f t="shared" si="75"/>
        <v>#VALUE!</v>
      </c>
      <c r="AS58" s="223">
        <f>IF(最早退休日期!$B$2="職員",MAX(IF(ISERROR(DATEVALUE(CONCATENATE(AK58+1911,"/",$AA$1000,"/",$AB$1000))),DATEVALUE(CONCATENATE(AK58+1911,"/",3,"/",1)),DATEVALUE(CONCATENATE(AK58+1911,"/",$AA$1000,"/",$AB$1000))),AR58),DATEVALUE(CONCATENATE(AK58+1911,"/8/1")))</f>
        <v>53175</v>
      </c>
      <c r="AT58" s="224" t="e">
        <f t="shared" si="76"/>
        <v>#VALUE!</v>
      </c>
      <c r="AU58" s="224" t="e">
        <f t="shared" si="77"/>
        <v>#VALUE!</v>
      </c>
      <c r="AV58" s="224" t="e">
        <f t="shared" si="89"/>
        <v>#VALUE!</v>
      </c>
      <c r="AW58" s="224" t="e">
        <f t="shared" si="78"/>
        <v>#VALUE!</v>
      </c>
      <c r="AX58" s="224" t="b">
        <f t="shared" si="79"/>
        <v>1</v>
      </c>
      <c r="AY58" s="224" t="e">
        <f t="shared" si="80"/>
        <v>#VALUE!</v>
      </c>
      <c r="AZ58" s="224" t="b">
        <f t="shared" si="81"/>
        <v>1</v>
      </c>
      <c r="BA58" s="224" t="e">
        <f t="shared" si="90"/>
        <v>#VALUE!</v>
      </c>
      <c r="BB58" s="224" t="e">
        <f t="shared" si="91"/>
        <v>#VALUE!</v>
      </c>
      <c r="BC58" s="224" t="e">
        <f t="shared" si="92"/>
        <v>#VALUE!</v>
      </c>
      <c r="BD58" s="225" t="e">
        <f t="shared" si="82"/>
        <v>#VALUE!</v>
      </c>
      <c r="BE58" s="225" t="e">
        <f t="shared" si="83"/>
        <v>#VALUE!</v>
      </c>
      <c r="BF58" s="225" t="e">
        <f t="shared" si="84"/>
        <v>#VALUE!</v>
      </c>
      <c r="BG58" s="226" t="e">
        <f t="shared" si="85"/>
        <v>#VALUE!</v>
      </c>
      <c r="BH58" s="227" t="e">
        <f t="shared" si="86"/>
        <v>#VALUE!</v>
      </c>
    </row>
    <row r="59" spans="1:60" x14ac:dyDescent="0.25">
      <c r="A59" s="216" t="str">
        <f t="shared" si="36"/>
        <v/>
      </c>
      <c r="B59" s="217" t="str">
        <f t="shared" si="37"/>
        <v/>
      </c>
      <c r="C59" s="217" t="str">
        <f t="shared" si="38"/>
        <v/>
      </c>
      <c r="D59" s="217" t="str">
        <f t="shared" si="39"/>
        <v/>
      </c>
      <c r="E59" s="217" t="str">
        <f t="shared" si="40"/>
        <v/>
      </c>
      <c r="F59" s="217" t="str">
        <f t="shared" si="41"/>
        <v/>
      </c>
      <c r="G59" s="217" t="str">
        <f t="shared" si="42"/>
        <v/>
      </c>
      <c r="H59" s="218" t="str">
        <f t="shared" si="43"/>
        <v/>
      </c>
      <c r="I59" s="219" t="str">
        <f t="shared" si="44"/>
        <v/>
      </c>
      <c r="J59" s="219" t="str">
        <f t="shared" si="45"/>
        <v/>
      </c>
      <c r="K59" s="206" t="str">
        <f t="shared" si="46"/>
        <v/>
      </c>
      <c r="L59" s="272" t="str">
        <f t="shared" si="47"/>
        <v/>
      </c>
      <c r="M59" s="216">
        <f>IF(最早可退休日期!$D$2&lt;&gt;"職員",Y61,IF(AND($AS$3&lt;$AS$2,$AS$4&lt;$AS$2),Y61,IF($AS$3&lt;$AS$2,Y60,Y59)))</f>
        <v>136</v>
      </c>
      <c r="N59" s="217" t="str">
        <f>IF(最早可退休日期!$D$2&lt;&gt;"職員",Z61,IF(AND($AS$3&lt;$AS$2,$AS$4&lt;$AS$2),Z61,IF($AS$3&lt;$AS$2,Z60,Z59)))</f>
        <v>無</v>
      </c>
      <c r="O59" s="217">
        <f>IF(最早可退休日期!$D$2&lt;&gt;"職員",AA61,IF(AND($AS$3&lt;$AS$2,$AS$4&lt;$AS$2),AA61,IF($AS$3&lt;$AS$2,AA60,AA59)))</f>
        <v>58</v>
      </c>
      <c r="P59" s="217">
        <f>IF(最早可退休日期!$D$2&lt;&gt;"職員",AB61,IF(AND($AS$3&lt;$AS$2,$AS$4&lt;$AS$2),AB61,IF($AS$3&lt;$AS$2,AB60,AB59)))</f>
        <v>55</v>
      </c>
      <c r="Q59" s="217">
        <f>IF(最早可退休日期!$D$2&lt;&gt;"職員",AC61,IF(AND($AS$3&lt;$AS$2,$AS$4&lt;$AS$2),AC61,IF($AS$3&lt;$AS$2,AC60,AC59)))</f>
        <v>136</v>
      </c>
      <c r="R59" s="217" t="e">
        <f>IF(最早可退休日期!$D$2&lt;&gt;"職員",AD61,IF(AND($AS$3&lt;$AS$2,$AS$4&lt;$AS$2),AD61,IF($AS$3&lt;$AS$2,AD60,AD59)))</f>
        <v>#VALUE!</v>
      </c>
      <c r="S59" s="217" t="e">
        <f>IF(最早可退休日期!$D$2&lt;&gt;"職員",AE61,IF(AND($AS$3&lt;$AS$2,$AS$4&lt;$AS$2),AE61,IF($AS$3&lt;$AS$2,AE60,AE59)))</f>
        <v>#VALUE!</v>
      </c>
      <c r="T59" s="218" t="str">
        <f>IF(最早可退休日期!$D$2&lt;&gt;"職員",AF61,IF(AND($AS$3&lt;$AS$2,$AS$4&lt;$AS$2),AF61,IF($AS$3&lt;$AS$2,AF60,AF59)))</f>
        <v>136年2月1日</v>
      </c>
      <c r="U59" s="219" t="e">
        <f>IF(最早可退休日期!$D$2&lt;&gt;"職員",AG61,IF(AND($AS$3&lt;$AS$2,$AS$4&lt;$AS$2),AG61,IF($AS$3&lt;$AS$2,AG60,AG59)))</f>
        <v>#VALUE!</v>
      </c>
      <c r="V59" s="219" t="e">
        <f>IF(最早可退休日期!$D$2&lt;&gt;"職員",AH61,IF(AND($AS$3&lt;$AS$2,$AS$4&lt;$AS$2),AH61,IF($AS$3&lt;$AS$2,AH60,AH59)))</f>
        <v>#VALUE!</v>
      </c>
      <c r="W59" s="206" t="e">
        <f>IF(最早可退休日期!$D$2&lt;&gt;"職員",AI61,IF(AND($AS$3&lt;$AS$2,$AS$4&lt;$AS$2),AI61,IF($AS$3&lt;$AS$2,AI60,AI59)))</f>
        <v>#VALUE!</v>
      </c>
      <c r="X59" s="207" t="e">
        <f>IF(最早可退休日期!$D$2&lt;&gt;"職員",AJ61,IF(AND($AS$3&lt;$AS$2,$AS$4&lt;$AS$2),AJ61,IF($AS$3&lt;$AS$2,AJ60,AJ59)))</f>
        <v>#VALUE!</v>
      </c>
      <c r="Y59" s="217">
        <f t="shared" si="61"/>
        <v>135</v>
      </c>
      <c r="Z59" s="217" t="str">
        <f t="shared" si="31"/>
        <v>無</v>
      </c>
      <c r="AA59" s="217">
        <f>IF(最早退休日期!$B$1="中等以下教師",58,IF(Y59&gt;=122,65,IF(Y59&lt;107,50,VLOOKUP(Y59,Legal_Year,3,0))))</f>
        <v>58</v>
      </c>
      <c r="AB59" s="217">
        <f t="shared" si="87"/>
        <v>55</v>
      </c>
      <c r="AC59" s="217">
        <f t="shared" si="62"/>
        <v>135</v>
      </c>
      <c r="AD59" s="217" t="e">
        <f t="shared" si="63"/>
        <v>#VALUE!</v>
      </c>
      <c r="AE59" s="217" t="e">
        <f t="shared" si="88"/>
        <v>#VALUE!</v>
      </c>
      <c r="AF59" s="227" t="str">
        <f t="shared" si="64"/>
        <v>135年2月1日</v>
      </c>
      <c r="AG59" s="219" t="e">
        <f t="shared" si="65"/>
        <v>#VALUE!</v>
      </c>
      <c r="AH59" s="219" t="e">
        <f t="shared" si="66"/>
        <v>#VALUE!</v>
      </c>
      <c r="AI59" s="206" t="e">
        <f t="shared" si="67"/>
        <v>#VALUE!</v>
      </c>
      <c r="AJ59" s="207" t="e">
        <f t="shared" si="68"/>
        <v>#VALUE!</v>
      </c>
      <c r="AK59" s="217">
        <f t="shared" si="48"/>
        <v>135</v>
      </c>
      <c r="AL59" s="217" t="e">
        <f t="shared" si="69"/>
        <v>#VALUE!</v>
      </c>
      <c r="AM59" s="220" t="e">
        <f t="shared" si="70"/>
        <v>#VALUE!</v>
      </c>
      <c r="AN59" s="220" t="e">
        <f t="shared" si="71"/>
        <v>#VALUE!</v>
      </c>
      <c r="AO59" s="220" t="e">
        <f t="shared" si="72"/>
        <v>#VALUE!</v>
      </c>
      <c r="AP59" s="221" t="e">
        <f t="shared" si="73"/>
        <v>#VALUE!</v>
      </c>
      <c r="AQ59" s="221" t="e">
        <f t="shared" si="74"/>
        <v>#VALUE!</v>
      </c>
      <c r="AR59" s="222" t="e">
        <f t="shared" si="75"/>
        <v>#VALUE!</v>
      </c>
      <c r="AS59" s="223">
        <f>IF(最早退休日期!$B$2="職員",MIN(IF(ISERROR(DATEVALUE(CONCATENATE(AK59+1911,"/",$AA$1000,"/",$AB$1000))),DATEVALUE(CONCATENATE(AK59+1911,"/",3,"/",1)),DATEVALUE(CONCATENATE(AK59+1911,"/",$AA$1000,"/",$AB$1000))),AR59),DATEVALUE(CONCATENATE(AK59+1911,"/2/1")))</f>
        <v>53359</v>
      </c>
      <c r="AT59" s="224" t="e">
        <f t="shared" si="76"/>
        <v>#VALUE!</v>
      </c>
      <c r="AU59" s="224" t="e">
        <f t="shared" si="77"/>
        <v>#VALUE!</v>
      </c>
      <c r="AV59" s="224" t="e">
        <f t="shared" si="89"/>
        <v>#VALUE!</v>
      </c>
      <c r="AW59" s="224" t="e">
        <f t="shared" si="78"/>
        <v>#VALUE!</v>
      </c>
      <c r="AX59" s="224" t="b">
        <f t="shared" si="79"/>
        <v>1</v>
      </c>
      <c r="AY59" s="224" t="e">
        <f t="shared" si="80"/>
        <v>#VALUE!</v>
      </c>
      <c r="AZ59" s="224" t="b">
        <f t="shared" si="81"/>
        <v>1</v>
      </c>
      <c r="BA59" s="224" t="e">
        <f t="shared" si="90"/>
        <v>#VALUE!</v>
      </c>
      <c r="BB59" s="224" t="e">
        <f t="shared" si="91"/>
        <v>#VALUE!</v>
      </c>
      <c r="BC59" s="224" t="e">
        <f t="shared" si="92"/>
        <v>#VALUE!</v>
      </c>
      <c r="BD59" s="225" t="e">
        <f t="shared" si="82"/>
        <v>#VALUE!</v>
      </c>
      <c r="BE59" s="225" t="e">
        <f t="shared" si="83"/>
        <v>#VALUE!</v>
      </c>
      <c r="BF59" s="225" t="e">
        <f t="shared" si="84"/>
        <v>#VALUE!</v>
      </c>
      <c r="BG59" s="226" t="e">
        <f t="shared" si="85"/>
        <v>#VALUE!</v>
      </c>
      <c r="BH59" s="227" t="e">
        <f t="shared" si="86"/>
        <v>#VALUE!</v>
      </c>
    </row>
    <row r="60" spans="1:60" x14ac:dyDescent="0.25">
      <c r="A60" s="216" t="str">
        <f t="shared" si="36"/>
        <v/>
      </c>
      <c r="B60" s="217" t="str">
        <f t="shared" si="37"/>
        <v/>
      </c>
      <c r="C60" s="217" t="str">
        <f t="shared" si="38"/>
        <v/>
      </c>
      <c r="D60" s="217" t="str">
        <f t="shared" si="39"/>
        <v/>
      </c>
      <c r="E60" s="217" t="str">
        <f t="shared" si="40"/>
        <v/>
      </c>
      <c r="F60" s="217" t="str">
        <f t="shared" si="41"/>
        <v/>
      </c>
      <c r="G60" s="217" t="str">
        <f t="shared" si="42"/>
        <v/>
      </c>
      <c r="H60" s="218" t="str">
        <f t="shared" si="43"/>
        <v/>
      </c>
      <c r="I60" s="219" t="str">
        <f t="shared" si="44"/>
        <v/>
      </c>
      <c r="J60" s="219" t="str">
        <f t="shared" si="45"/>
        <v/>
      </c>
      <c r="K60" s="206" t="str">
        <f t="shared" si="46"/>
        <v/>
      </c>
      <c r="L60" s="272" t="str">
        <f t="shared" si="47"/>
        <v/>
      </c>
      <c r="M60" s="216">
        <f>IF(最早可退休日期!$D$2&lt;&gt;"職員",Y62,IF(AND($AS$3&lt;$AS$2,$AS$4&lt;$AS$2),Y62,IF($AS$3&lt;$AS$2,Y61,Y60)))</f>
        <v>136</v>
      </c>
      <c r="N60" s="217" t="str">
        <f>IF(最早可退休日期!$D$2&lt;&gt;"職員",Z62,IF(AND($AS$3&lt;$AS$2,$AS$4&lt;$AS$2),Z62,IF($AS$3&lt;$AS$2,Z61,Z60)))</f>
        <v>無</v>
      </c>
      <c r="O60" s="217">
        <f>IF(最早可退休日期!$D$2&lt;&gt;"職員",AA62,IF(AND($AS$3&lt;$AS$2,$AS$4&lt;$AS$2),AA62,IF($AS$3&lt;$AS$2,AA61,AA60)))</f>
        <v>58</v>
      </c>
      <c r="P60" s="217">
        <f>IF(最早可退休日期!$D$2&lt;&gt;"職員",AB62,IF(AND($AS$3&lt;$AS$2,$AS$4&lt;$AS$2),AB62,IF($AS$3&lt;$AS$2,AB61,AB60)))</f>
        <v>55</v>
      </c>
      <c r="Q60" s="217">
        <f>IF(最早可退休日期!$D$2&lt;&gt;"職員",AC62,IF(AND($AS$3&lt;$AS$2,$AS$4&lt;$AS$2),AC62,IF($AS$3&lt;$AS$2,AC61,AC60)))</f>
        <v>136</v>
      </c>
      <c r="R60" s="217" t="e">
        <f>IF(最早可退休日期!$D$2&lt;&gt;"職員",AD62,IF(AND($AS$3&lt;$AS$2,$AS$4&lt;$AS$2),AD62,IF($AS$3&lt;$AS$2,AD61,AD60)))</f>
        <v>#VALUE!</v>
      </c>
      <c r="S60" s="217" t="e">
        <f>IF(最早可退休日期!$D$2&lt;&gt;"職員",AE62,IF(AND($AS$3&lt;$AS$2,$AS$4&lt;$AS$2),AE62,IF($AS$3&lt;$AS$2,AE61,AE60)))</f>
        <v>#VALUE!</v>
      </c>
      <c r="T60" s="218" t="str">
        <f>IF(最早可退休日期!$D$2&lt;&gt;"職員",AF62,IF(AND($AS$3&lt;$AS$2,$AS$4&lt;$AS$2),AF62,IF($AS$3&lt;$AS$2,AF61,AF60)))</f>
        <v>136年8月1日</v>
      </c>
      <c r="U60" s="219" t="e">
        <f>IF(最早可退休日期!$D$2&lt;&gt;"職員",AG62,IF(AND($AS$3&lt;$AS$2,$AS$4&lt;$AS$2),AG62,IF($AS$3&lt;$AS$2,AG61,AG60)))</f>
        <v>#VALUE!</v>
      </c>
      <c r="V60" s="219" t="e">
        <f>IF(最早可退休日期!$D$2&lt;&gt;"職員",AH62,IF(AND($AS$3&lt;$AS$2,$AS$4&lt;$AS$2),AH62,IF($AS$3&lt;$AS$2,AH61,AH60)))</f>
        <v>#VALUE!</v>
      </c>
      <c r="W60" s="206" t="e">
        <f>IF(最早可退休日期!$D$2&lt;&gt;"職員",AI62,IF(AND($AS$3&lt;$AS$2,$AS$4&lt;$AS$2),AI62,IF($AS$3&lt;$AS$2,AI61,AI60)))</f>
        <v>#VALUE!</v>
      </c>
      <c r="X60" s="207" t="e">
        <f>IF(最早可退休日期!$D$2&lt;&gt;"職員",AJ62,IF(AND($AS$3&lt;$AS$2,$AS$4&lt;$AS$2),AJ62,IF($AS$3&lt;$AS$2,AJ61,AJ60)))</f>
        <v>#VALUE!</v>
      </c>
      <c r="Y60" s="217">
        <f t="shared" si="61"/>
        <v>135</v>
      </c>
      <c r="Z60" s="217" t="str">
        <f t="shared" si="31"/>
        <v>無</v>
      </c>
      <c r="AA60" s="217">
        <f>IF(最早退休日期!$B$1="中等以下教師",58,IF(Y60&gt;=122,65,IF(Y60&lt;107,50,VLOOKUP(Y60,Legal_Year,3,0))))</f>
        <v>58</v>
      </c>
      <c r="AB60" s="217">
        <f t="shared" si="87"/>
        <v>55</v>
      </c>
      <c r="AC60" s="217">
        <f t="shared" si="62"/>
        <v>135</v>
      </c>
      <c r="AD60" s="217" t="e">
        <f t="shared" si="63"/>
        <v>#VALUE!</v>
      </c>
      <c r="AE60" s="217" t="e">
        <f t="shared" si="88"/>
        <v>#VALUE!</v>
      </c>
      <c r="AF60" s="227" t="str">
        <f t="shared" si="64"/>
        <v>135年8月1日</v>
      </c>
      <c r="AG60" s="219" t="e">
        <f t="shared" si="65"/>
        <v>#VALUE!</v>
      </c>
      <c r="AH60" s="219" t="e">
        <f t="shared" si="66"/>
        <v>#VALUE!</v>
      </c>
      <c r="AI60" s="206" t="e">
        <f t="shared" si="67"/>
        <v>#VALUE!</v>
      </c>
      <c r="AJ60" s="207" t="e">
        <f t="shared" si="68"/>
        <v>#VALUE!</v>
      </c>
      <c r="AK60" s="217">
        <f t="shared" si="48"/>
        <v>135</v>
      </c>
      <c r="AL60" s="217" t="e">
        <f t="shared" si="69"/>
        <v>#VALUE!</v>
      </c>
      <c r="AM60" s="220" t="e">
        <f t="shared" si="70"/>
        <v>#VALUE!</v>
      </c>
      <c r="AN60" s="220" t="e">
        <f t="shared" si="71"/>
        <v>#VALUE!</v>
      </c>
      <c r="AO60" s="220" t="e">
        <f t="shared" si="72"/>
        <v>#VALUE!</v>
      </c>
      <c r="AP60" s="221" t="e">
        <f t="shared" si="73"/>
        <v>#VALUE!</v>
      </c>
      <c r="AQ60" s="221" t="e">
        <f t="shared" si="74"/>
        <v>#VALUE!</v>
      </c>
      <c r="AR60" s="222" t="e">
        <f t="shared" si="75"/>
        <v>#VALUE!</v>
      </c>
      <c r="AS60" s="223">
        <f>IF(最早退休日期!$B$2="職員",MAX(IF(ISERROR(DATEVALUE(CONCATENATE(AK60+1911,"/",$AA$1000,"/",$AB$1000))),DATEVALUE(CONCATENATE(AK60+1911,"/",3,"/",1)),DATEVALUE(CONCATENATE(AK60+1911,"/",$AA$1000,"/",$AB$1000))),AR60),DATEVALUE(CONCATENATE(AK60+1911,"/8/1")))</f>
        <v>53540</v>
      </c>
      <c r="AT60" s="224" t="e">
        <f t="shared" si="76"/>
        <v>#VALUE!</v>
      </c>
      <c r="AU60" s="224" t="e">
        <f t="shared" si="77"/>
        <v>#VALUE!</v>
      </c>
      <c r="AV60" s="224" t="e">
        <f t="shared" si="89"/>
        <v>#VALUE!</v>
      </c>
      <c r="AW60" s="224" t="e">
        <f t="shared" si="78"/>
        <v>#VALUE!</v>
      </c>
      <c r="AX60" s="224" t="b">
        <f t="shared" si="79"/>
        <v>1</v>
      </c>
      <c r="AY60" s="224" t="e">
        <f t="shared" si="80"/>
        <v>#VALUE!</v>
      </c>
      <c r="AZ60" s="224" t="b">
        <f t="shared" si="81"/>
        <v>1</v>
      </c>
      <c r="BA60" s="224" t="e">
        <f t="shared" si="90"/>
        <v>#VALUE!</v>
      </c>
      <c r="BB60" s="224" t="e">
        <f t="shared" si="91"/>
        <v>#VALUE!</v>
      </c>
      <c r="BC60" s="224" t="e">
        <f t="shared" si="92"/>
        <v>#VALUE!</v>
      </c>
      <c r="BD60" s="225" t="e">
        <f t="shared" si="82"/>
        <v>#VALUE!</v>
      </c>
      <c r="BE60" s="225" t="e">
        <f t="shared" si="83"/>
        <v>#VALUE!</v>
      </c>
      <c r="BF60" s="225" t="e">
        <f t="shared" si="84"/>
        <v>#VALUE!</v>
      </c>
      <c r="BG60" s="226" t="e">
        <f t="shared" si="85"/>
        <v>#VALUE!</v>
      </c>
      <c r="BH60" s="227" t="e">
        <f t="shared" si="86"/>
        <v>#VALUE!</v>
      </c>
    </row>
    <row r="61" spans="1:60" x14ac:dyDescent="0.25">
      <c r="A61" s="216" t="str">
        <f t="shared" si="36"/>
        <v/>
      </c>
      <c r="B61" s="217" t="str">
        <f t="shared" si="37"/>
        <v/>
      </c>
      <c r="C61" s="217" t="str">
        <f t="shared" si="38"/>
        <v/>
      </c>
      <c r="D61" s="217" t="str">
        <f t="shared" si="39"/>
        <v/>
      </c>
      <c r="E61" s="217" t="str">
        <f t="shared" si="40"/>
        <v/>
      </c>
      <c r="F61" s="217" t="str">
        <f t="shared" si="41"/>
        <v/>
      </c>
      <c r="G61" s="217" t="str">
        <f t="shared" si="42"/>
        <v/>
      </c>
      <c r="H61" s="218" t="str">
        <f t="shared" si="43"/>
        <v/>
      </c>
      <c r="I61" s="219" t="str">
        <f t="shared" si="44"/>
        <v/>
      </c>
      <c r="J61" s="219" t="str">
        <f t="shared" si="45"/>
        <v/>
      </c>
      <c r="K61" s="206" t="str">
        <f t="shared" si="46"/>
        <v/>
      </c>
      <c r="L61" s="272" t="str">
        <f t="shared" si="47"/>
        <v/>
      </c>
      <c r="M61" s="216">
        <f>IF(最早可退休日期!$D$2&lt;&gt;"職員",Y63,IF(AND($AS$3&lt;$AS$2,$AS$4&lt;$AS$2),Y63,IF($AS$3&lt;$AS$2,Y62,Y61)))</f>
        <v>137</v>
      </c>
      <c r="N61" s="217" t="str">
        <f>IF(最早可退休日期!$D$2&lt;&gt;"職員",Z63,IF(AND($AS$3&lt;$AS$2,$AS$4&lt;$AS$2),Z63,IF($AS$3&lt;$AS$2,Z62,Z61)))</f>
        <v>無</v>
      </c>
      <c r="O61" s="217">
        <f>IF(最早可退休日期!$D$2&lt;&gt;"職員",AA63,IF(AND($AS$3&lt;$AS$2,$AS$4&lt;$AS$2),AA63,IF($AS$3&lt;$AS$2,AA62,AA61)))</f>
        <v>58</v>
      </c>
      <c r="P61" s="217">
        <f>IF(最早可退休日期!$D$2&lt;&gt;"職員",AB63,IF(AND($AS$3&lt;$AS$2,$AS$4&lt;$AS$2),AB63,IF($AS$3&lt;$AS$2,AB62,AB61)))</f>
        <v>55</v>
      </c>
      <c r="Q61" s="217">
        <f>IF(最早可退休日期!$D$2&lt;&gt;"職員",AC63,IF(AND($AS$3&lt;$AS$2,$AS$4&lt;$AS$2),AC63,IF($AS$3&lt;$AS$2,AC62,AC61)))</f>
        <v>137</v>
      </c>
      <c r="R61" s="217" t="e">
        <f>IF(最早可退休日期!$D$2&lt;&gt;"職員",AD63,IF(AND($AS$3&lt;$AS$2,$AS$4&lt;$AS$2),AD63,IF($AS$3&lt;$AS$2,AD62,AD61)))</f>
        <v>#VALUE!</v>
      </c>
      <c r="S61" s="217" t="e">
        <f>IF(最早可退休日期!$D$2&lt;&gt;"職員",AE63,IF(AND($AS$3&lt;$AS$2,$AS$4&lt;$AS$2),AE63,IF($AS$3&lt;$AS$2,AE62,AE61)))</f>
        <v>#VALUE!</v>
      </c>
      <c r="T61" s="218" t="str">
        <f>IF(最早可退休日期!$D$2&lt;&gt;"職員",AF63,IF(AND($AS$3&lt;$AS$2,$AS$4&lt;$AS$2),AF63,IF($AS$3&lt;$AS$2,AF62,AF61)))</f>
        <v>137年2月1日</v>
      </c>
      <c r="U61" s="219" t="e">
        <f>IF(最早可退休日期!$D$2&lt;&gt;"職員",AG63,IF(AND($AS$3&lt;$AS$2,$AS$4&lt;$AS$2),AG63,IF($AS$3&lt;$AS$2,AG62,AG61)))</f>
        <v>#VALUE!</v>
      </c>
      <c r="V61" s="219" t="e">
        <f>IF(最早可退休日期!$D$2&lt;&gt;"職員",AH63,IF(AND($AS$3&lt;$AS$2,$AS$4&lt;$AS$2),AH63,IF($AS$3&lt;$AS$2,AH62,AH61)))</f>
        <v>#VALUE!</v>
      </c>
      <c r="W61" s="206" t="e">
        <f>IF(最早可退休日期!$D$2&lt;&gt;"職員",AI63,IF(AND($AS$3&lt;$AS$2,$AS$4&lt;$AS$2),AI63,IF($AS$3&lt;$AS$2,AI62,AI61)))</f>
        <v>#VALUE!</v>
      </c>
      <c r="X61" s="207" t="e">
        <f>IF(最早可退休日期!$D$2&lt;&gt;"職員",AJ63,IF(AND($AS$3&lt;$AS$2,$AS$4&lt;$AS$2),AJ63,IF($AS$3&lt;$AS$2,AJ62,AJ61)))</f>
        <v>#VALUE!</v>
      </c>
      <c r="Y61" s="217">
        <f t="shared" si="61"/>
        <v>136</v>
      </c>
      <c r="Z61" s="217" t="str">
        <f t="shared" si="31"/>
        <v>無</v>
      </c>
      <c r="AA61" s="217">
        <f>IF(最早退休日期!$B$1="中等以下教師",58,IF(Y61&gt;=122,65,IF(Y61&lt;107,50,VLOOKUP(Y61,Legal_Year,3,0))))</f>
        <v>58</v>
      </c>
      <c r="AB61" s="217">
        <f t="shared" si="87"/>
        <v>55</v>
      </c>
      <c r="AC61" s="217">
        <f t="shared" si="62"/>
        <v>136</v>
      </c>
      <c r="AD61" s="217" t="e">
        <f t="shared" si="63"/>
        <v>#VALUE!</v>
      </c>
      <c r="AE61" s="217" t="e">
        <f t="shared" si="88"/>
        <v>#VALUE!</v>
      </c>
      <c r="AF61" s="227" t="str">
        <f t="shared" si="64"/>
        <v>136年2月1日</v>
      </c>
      <c r="AG61" s="219" t="e">
        <f t="shared" si="65"/>
        <v>#VALUE!</v>
      </c>
      <c r="AH61" s="219" t="e">
        <f t="shared" si="66"/>
        <v>#VALUE!</v>
      </c>
      <c r="AI61" s="206" t="e">
        <f t="shared" si="67"/>
        <v>#VALUE!</v>
      </c>
      <c r="AJ61" s="207" t="e">
        <f t="shared" si="68"/>
        <v>#VALUE!</v>
      </c>
      <c r="AK61" s="217">
        <f t="shared" si="48"/>
        <v>136</v>
      </c>
      <c r="AL61" s="217" t="e">
        <f t="shared" si="69"/>
        <v>#VALUE!</v>
      </c>
      <c r="AM61" s="220" t="e">
        <f t="shared" si="70"/>
        <v>#VALUE!</v>
      </c>
      <c r="AN61" s="220" t="e">
        <f t="shared" si="71"/>
        <v>#VALUE!</v>
      </c>
      <c r="AO61" s="220" t="e">
        <f t="shared" si="72"/>
        <v>#VALUE!</v>
      </c>
      <c r="AP61" s="221" t="e">
        <f t="shared" si="73"/>
        <v>#VALUE!</v>
      </c>
      <c r="AQ61" s="221" t="e">
        <f t="shared" si="74"/>
        <v>#VALUE!</v>
      </c>
      <c r="AR61" s="222" t="e">
        <f t="shared" si="75"/>
        <v>#VALUE!</v>
      </c>
      <c r="AS61" s="223">
        <f>IF(最早退休日期!$B$2="職員",MIN(IF(ISERROR(DATEVALUE(CONCATENATE(AK61+1911,"/",$AA$1000,"/",$AB$1000))),DATEVALUE(CONCATENATE(AK61+1911,"/",3,"/",1)),DATEVALUE(CONCATENATE(AK61+1911,"/",$AA$1000,"/",$AB$1000))),AR61),DATEVALUE(CONCATENATE(AK61+1911,"/2/1")))</f>
        <v>53724</v>
      </c>
      <c r="AT61" s="224" t="e">
        <f t="shared" si="76"/>
        <v>#VALUE!</v>
      </c>
      <c r="AU61" s="224" t="e">
        <f t="shared" si="77"/>
        <v>#VALUE!</v>
      </c>
      <c r="AV61" s="224" t="e">
        <f t="shared" si="89"/>
        <v>#VALUE!</v>
      </c>
      <c r="AW61" s="224" t="e">
        <f t="shared" si="78"/>
        <v>#VALUE!</v>
      </c>
      <c r="AX61" s="224" t="b">
        <f t="shared" si="79"/>
        <v>1</v>
      </c>
      <c r="AY61" s="224" t="e">
        <f t="shared" si="80"/>
        <v>#VALUE!</v>
      </c>
      <c r="AZ61" s="224" t="b">
        <f t="shared" si="81"/>
        <v>1</v>
      </c>
      <c r="BA61" s="224" t="e">
        <f t="shared" si="90"/>
        <v>#VALUE!</v>
      </c>
      <c r="BB61" s="224" t="e">
        <f t="shared" si="91"/>
        <v>#VALUE!</v>
      </c>
      <c r="BC61" s="224" t="e">
        <f t="shared" si="92"/>
        <v>#VALUE!</v>
      </c>
      <c r="BD61" s="225" t="e">
        <f t="shared" si="82"/>
        <v>#VALUE!</v>
      </c>
      <c r="BE61" s="225" t="e">
        <f t="shared" si="83"/>
        <v>#VALUE!</v>
      </c>
      <c r="BF61" s="225" t="e">
        <f t="shared" si="84"/>
        <v>#VALUE!</v>
      </c>
      <c r="BG61" s="226" t="e">
        <f t="shared" si="85"/>
        <v>#VALUE!</v>
      </c>
      <c r="BH61" s="227" t="e">
        <f t="shared" si="86"/>
        <v>#VALUE!</v>
      </c>
    </row>
    <row r="62" spans="1:60" x14ac:dyDescent="0.25">
      <c r="A62" s="216" t="str">
        <f t="shared" si="36"/>
        <v/>
      </c>
      <c r="B62" s="217" t="str">
        <f t="shared" si="37"/>
        <v/>
      </c>
      <c r="C62" s="217" t="str">
        <f t="shared" si="38"/>
        <v/>
      </c>
      <c r="D62" s="217" t="str">
        <f t="shared" si="39"/>
        <v/>
      </c>
      <c r="E62" s="217" t="str">
        <f t="shared" si="40"/>
        <v/>
      </c>
      <c r="F62" s="217" t="str">
        <f t="shared" si="41"/>
        <v/>
      </c>
      <c r="G62" s="217" t="str">
        <f t="shared" si="42"/>
        <v/>
      </c>
      <c r="H62" s="218" t="str">
        <f t="shared" si="43"/>
        <v/>
      </c>
      <c r="I62" s="219" t="str">
        <f t="shared" si="44"/>
        <v/>
      </c>
      <c r="J62" s="219" t="str">
        <f t="shared" si="45"/>
        <v/>
      </c>
      <c r="K62" s="206" t="str">
        <f t="shared" si="46"/>
        <v/>
      </c>
      <c r="L62" s="272" t="str">
        <f t="shared" si="47"/>
        <v/>
      </c>
      <c r="M62" s="216">
        <f>IF(最早可退休日期!$D$2&lt;&gt;"職員",Y64,IF(AND($AS$3&lt;$AS$2,$AS$4&lt;$AS$2),Y64,IF($AS$3&lt;$AS$2,Y63,Y62)))</f>
        <v>137</v>
      </c>
      <c r="N62" s="217" t="str">
        <f>IF(最早可退休日期!$D$2&lt;&gt;"職員",Z64,IF(AND($AS$3&lt;$AS$2,$AS$4&lt;$AS$2),Z64,IF($AS$3&lt;$AS$2,Z63,Z62)))</f>
        <v>無</v>
      </c>
      <c r="O62" s="217">
        <f>IF(最早可退休日期!$D$2&lt;&gt;"職員",AA64,IF(AND($AS$3&lt;$AS$2,$AS$4&lt;$AS$2),AA64,IF($AS$3&lt;$AS$2,AA63,AA62)))</f>
        <v>58</v>
      </c>
      <c r="P62" s="217">
        <f>IF(最早可退休日期!$D$2&lt;&gt;"職員",AB64,IF(AND($AS$3&lt;$AS$2,$AS$4&lt;$AS$2),AB64,IF($AS$3&lt;$AS$2,AB63,AB62)))</f>
        <v>55</v>
      </c>
      <c r="Q62" s="217">
        <f>IF(最早可退休日期!$D$2&lt;&gt;"職員",AC64,IF(AND($AS$3&lt;$AS$2,$AS$4&lt;$AS$2),AC64,IF($AS$3&lt;$AS$2,AC63,AC62)))</f>
        <v>137</v>
      </c>
      <c r="R62" s="217" t="e">
        <f>IF(最早可退休日期!$D$2&lt;&gt;"職員",AD64,IF(AND($AS$3&lt;$AS$2,$AS$4&lt;$AS$2),AD64,IF($AS$3&lt;$AS$2,AD63,AD62)))</f>
        <v>#VALUE!</v>
      </c>
      <c r="S62" s="217" t="e">
        <f>IF(最早可退休日期!$D$2&lt;&gt;"職員",AE64,IF(AND($AS$3&lt;$AS$2,$AS$4&lt;$AS$2),AE64,IF($AS$3&lt;$AS$2,AE63,AE62)))</f>
        <v>#VALUE!</v>
      </c>
      <c r="T62" s="218" t="str">
        <f>IF(最早可退休日期!$D$2&lt;&gt;"職員",AF64,IF(AND($AS$3&lt;$AS$2,$AS$4&lt;$AS$2),AF64,IF($AS$3&lt;$AS$2,AF63,AF62)))</f>
        <v>137年8月1日</v>
      </c>
      <c r="U62" s="219" t="e">
        <f>IF(最早可退休日期!$D$2&lt;&gt;"職員",AG64,IF(AND($AS$3&lt;$AS$2,$AS$4&lt;$AS$2),AG64,IF($AS$3&lt;$AS$2,AG63,AG62)))</f>
        <v>#VALUE!</v>
      </c>
      <c r="V62" s="219" t="e">
        <f>IF(最早可退休日期!$D$2&lt;&gt;"職員",AH64,IF(AND($AS$3&lt;$AS$2,$AS$4&lt;$AS$2),AH64,IF($AS$3&lt;$AS$2,AH63,AH62)))</f>
        <v>#VALUE!</v>
      </c>
      <c r="W62" s="206" t="e">
        <f>IF(最早可退休日期!$D$2&lt;&gt;"職員",AI64,IF(AND($AS$3&lt;$AS$2,$AS$4&lt;$AS$2),AI64,IF($AS$3&lt;$AS$2,AI63,AI62)))</f>
        <v>#VALUE!</v>
      </c>
      <c r="X62" s="207" t="e">
        <f>IF(最早可退休日期!$D$2&lt;&gt;"職員",AJ64,IF(AND($AS$3&lt;$AS$2,$AS$4&lt;$AS$2),AJ64,IF($AS$3&lt;$AS$2,AJ63,AJ62)))</f>
        <v>#VALUE!</v>
      </c>
      <c r="Y62" s="217">
        <f t="shared" si="61"/>
        <v>136</v>
      </c>
      <c r="Z62" s="217" t="str">
        <f t="shared" si="31"/>
        <v>無</v>
      </c>
      <c r="AA62" s="217">
        <f>IF(最早退休日期!$B$1="中等以下教師",58,IF(Y62&gt;=122,65,IF(Y62&lt;107,50,VLOOKUP(Y62,Legal_Year,3,0))))</f>
        <v>58</v>
      </c>
      <c r="AB62" s="217">
        <f t="shared" si="87"/>
        <v>55</v>
      </c>
      <c r="AC62" s="217">
        <f t="shared" si="62"/>
        <v>136</v>
      </c>
      <c r="AD62" s="217" t="e">
        <f t="shared" si="63"/>
        <v>#VALUE!</v>
      </c>
      <c r="AE62" s="217" t="e">
        <f t="shared" si="88"/>
        <v>#VALUE!</v>
      </c>
      <c r="AF62" s="227" t="str">
        <f t="shared" si="64"/>
        <v>136年8月1日</v>
      </c>
      <c r="AG62" s="219" t="e">
        <f t="shared" si="65"/>
        <v>#VALUE!</v>
      </c>
      <c r="AH62" s="219" t="e">
        <f t="shared" si="66"/>
        <v>#VALUE!</v>
      </c>
      <c r="AI62" s="206" t="e">
        <f t="shared" si="67"/>
        <v>#VALUE!</v>
      </c>
      <c r="AJ62" s="207" t="e">
        <f t="shared" si="68"/>
        <v>#VALUE!</v>
      </c>
      <c r="AK62" s="217">
        <f t="shared" si="48"/>
        <v>136</v>
      </c>
      <c r="AL62" s="217" t="e">
        <f t="shared" si="69"/>
        <v>#VALUE!</v>
      </c>
      <c r="AM62" s="220" t="e">
        <f t="shared" si="70"/>
        <v>#VALUE!</v>
      </c>
      <c r="AN62" s="220" t="e">
        <f t="shared" si="71"/>
        <v>#VALUE!</v>
      </c>
      <c r="AO62" s="220" t="e">
        <f t="shared" si="72"/>
        <v>#VALUE!</v>
      </c>
      <c r="AP62" s="221" t="e">
        <f t="shared" si="73"/>
        <v>#VALUE!</v>
      </c>
      <c r="AQ62" s="221" t="e">
        <f t="shared" si="74"/>
        <v>#VALUE!</v>
      </c>
      <c r="AR62" s="222" t="e">
        <f t="shared" si="75"/>
        <v>#VALUE!</v>
      </c>
      <c r="AS62" s="223">
        <f>IF(最早退休日期!$B$2="職員",MAX(IF(ISERROR(DATEVALUE(CONCATENATE(AK62+1911,"/",$AA$1000,"/",$AB$1000))),DATEVALUE(CONCATENATE(AK62+1911,"/",3,"/",1)),DATEVALUE(CONCATENATE(AK62+1911,"/",$AA$1000,"/",$AB$1000))),AR62),DATEVALUE(CONCATENATE(AK62+1911,"/8/1")))</f>
        <v>53905</v>
      </c>
      <c r="AT62" s="224" t="e">
        <f t="shared" si="76"/>
        <v>#VALUE!</v>
      </c>
      <c r="AU62" s="224" t="e">
        <f t="shared" si="77"/>
        <v>#VALUE!</v>
      </c>
      <c r="AV62" s="224" t="e">
        <f t="shared" si="89"/>
        <v>#VALUE!</v>
      </c>
      <c r="AW62" s="224" t="e">
        <f t="shared" si="78"/>
        <v>#VALUE!</v>
      </c>
      <c r="AX62" s="224" t="b">
        <f t="shared" si="79"/>
        <v>1</v>
      </c>
      <c r="AY62" s="224" t="e">
        <f t="shared" si="80"/>
        <v>#VALUE!</v>
      </c>
      <c r="AZ62" s="224" t="b">
        <f t="shared" si="81"/>
        <v>1</v>
      </c>
      <c r="BA62" s="224" t="e">
        <f t="shared" si="90"/>
        <v>#VALUE!</v>
      </c>
      <c r="BB62" s="224" t="e">
        <f t="shared" si="91"/>
        <v>#VALUE!</v>
      </c>
      <c r="BC62" s="224" t="e">
        <f t="shared" si="92"/>
        <v>#VALUE!</v>
      </c>
      <c r="BD62" s="225" t="e">
        <f t="shared" si="82"/>
        <v>#VALUE!</v>
      </c>
      <c r="BE62" s="225" t="e">
        <f t="shared" si="83"/>
        <v>#VALUE!</v>
      </c>
      <c r="BF62" s="225" t="e">
        <f t="shared" si="84"/>
        <v>#VALUE!</v>
      </c>
      <c r="BG62" s="226" t="e">
        <f t="shared" si="85"/>
        <v>#VALUE!</v>
      </c>
      <c r="BH62" s="227" t="e">
        <f t="shared" si="86"/>
        <v>#VALUE!</v>
      </c>
    </row>
    <row r="63" spans="1:60" x14ac:dyDescent="0.25">
      <c r="A63" s="216" t="str">
        <f t="shared" si="36"/>
        <v/>
      </c>
      <c r="B63" s="217" t="str">
        <f t="shared" si="37"/>
        <v/>
      </c>
      <c r="C63" s="217" t="str">
        <f t="shared" si="38"/>
        <v/>
      </c>
      <c r="D63" s="217" t="str">
        <f t="shared" si="39"/>
        <v/>
      </c>
      <c r="E63" s="217" t="str">
        <f t="shared" si="40"/>
        <v/>
      </c>
      <c r="F63" s="217" t="str">
        <f t="shared" si="41"/>
        <v/>
      </c>
      <c r="G63" s="217" t="str">
        <f t="shared" si="42"/>
        <v/>
      </c>
      <c r="H63" s="218" t="str">
        <f t="shared" si="43"/>
        <v/>
      </c>
      <c r="I63" s="219" t="str">
        <f t="shared" si="44"/>
        <v/>
      </c>
      <c r="J63" s="219" t="str">
        <f t="shared" si="45"/>
        <v/>
      </c>
      <c r="K63" s="206" t="str">
        <f t="shared" si="46"/>
        <v/>
      </c>
      <c r="L63" s="272" t="str">
        <f t="shared" si="47"/>
        <v/>
      </c>
      <c r="M63" s="216">
        <f>IF(最早可退休日期!$D$2&lt;&gt;"職員",Y65,IF(AND($AS$3&lt;$AS$2,$AS$4&lt;$AS$2),Y65,IF($AS$3&lt;$AS$2,Y64,Y63)))</f>
        <v>138</v>
      </c>
      <c r="N63" s="217" t="str">
        <f>IF(最早可退休日期!$D$2&lt;&gt;"職員",Z65,IF(AND($AS$3&lt;$AS$2,$AS$4&lt;$AS$2),Z65,IF($AS$3&lt;$AS$2,Z64,Z63)))</f>
        <v>無</v>
      </c>
      <c r="O63" s="217">
        <f>IF(最早可退休日期!$D$2&lt;&gt;"職員",AA65,IF(AND($AS$3&lt;$AS$2,$AS$4&lt;$AS$2),AA65,IF($AS$3&lt;$AS$2,AA64,AA63)))</f>
        <v>58</v>
      </c>
      <c r="P63" s="217">
        <f>IF(最早可退休日期!$D$2&lt;&gt;"職員",AB65,IF(AND($AS$3&lt;$AS$2,$AS$4&lt;$AS$2),AB65,IF($AS$3&lt;$AS$2,AB64,AB63)))</f>
        <v>55</v>
      </c>
      <c r="Q63" s="217">
        <f>IF(最早可退休日期!$D$2&lt;&gt;"職員",AC65,IF(AND($AS$3&lt;$AS$2,$AS$4&lt;$AS$2),AC65,IF($AS$3&lt;$AS$2,AC64,AC63)))</f>
        <v>138</v>
      </c>
      <c r="R63" s="217" t="e">
        <f>IF(最早可退休日期!$D$2&lt;&gt;"職員",AD65,IF(AND($AS$3&lt;$AS$2,$AS$4&lt;$AS$2),AD65,IF($AS$3&lt;$AS$2,AD64,AD63)))</f>
        <v>#VALUE!</v>
      </c>
      <c r="S63" s="217" t="e">
        <f>IF(最早可退休日期!$D$2&lt;&gt;"職員",AE65,IF(AND($AS$3&lt;$AS$2,$AS$4&lt;$AS$2),AE65,IF($AS$3&lt;$AS$2,AE64,AE63)))</f>
        <v>#VALUE!</v>
      </c>
      <c r="T63" s="218" t="str">
        <f>IF(最早可退休日期!$D$2&lt;&gt;"職員",AF65,IF(AND($AS$3&lt;$AS$2,$AS$4&lt;$AS$2),AF65,IF($AS$3&lt;$AS$2,AF64,AF63)))</f>
        <v>138年2月1日</v>
      </c>
      <c r="U63" s="219" t="e">
        <f>IF(最早可退休日期!$D$2&lt;&gt;"職員",AG65,IF(AND($AS$3&lt;$AS$2,$AS$4&lt;$AS$2),AG65,IF($AS$3&lt;$AS$2,AG64,AG63)))</f>
        <v>#VALUE!</v>
      </c>
      <c r="V63" s="219" t="e">
        <f>IF(最早可退休日期!$D$2&lt;&gt;"職員",AH65,IF(AND($AS$3&lt;$AS$2,$AS$4&lt;$AS$2),AH65,IF($AS$3&lt;$AS$2,AH64,AH63)))</f>
        <v>#VALUE!</v>
      </c>
      <c r="W63" s="206" t="e">
        <f>IF(最早可退休日期!$D$2&lt;&gt;"職員",AI65,IF(AND($AS$3&lt;$AS$2,$AS$4&lt;$AS$2),AI65,IF($AS$3&lt;$AS$2,AI64,AI63)))</f>
        <v>#VALUE!</v>
      </c>
      <c r="X63" s="207" t="e">
        <f>IF(最早可退休日期!$D$2&lt;&gt;"職員",AJ65,IF(AND($AS$3&lt;$AS$2,$AS$4&lt;$AS$2),AJ65,IF($AS$3&lt;$AS$2,AJ64,AJ63)))</f>
        <v>#VALUE!</v>
      </c>
      <c r="Y63" s="217">
        <f t="shared" si="61"/>
        <v>137</v>
      </c>
      <c r="Z63" s="217" t="str">
        <f t="shared" si="31"/>
        <v>無</v>
      </c>
      <c r="AA63" s="217">
        <f>IF(最早退休日期!$B$1="中等以下教師",58,IF(Y63&gt;=122,65,IF(Y63&lt;107,50,VLOOKUP(Y63,Legal_Year,3,0))))</f>
        <v>58</v>
      </c>
      <c r="AB63" s="217">
        <f t="shared" si="87"/>
        <v>55</v>
      </c>
      <c r="AC63" s="217">
        <f t="shared" si="62"/>
        <v>137</v>
      </c>
      <c r="AD63" s="217" t="e">
        <f t="shared" si="63"/>
        <v>#VALUE!</v>
      </c>
      <c r="AE63" s="217" t="e">
        <f t="shared" si="88"/>
        <v>#VALUE!</v>
      </c>
      <c r="AF63" s="227" t="str">
        <f t="shared" si="64"/>
        <v>137年2月1日</v>
      </c>
      <c r="AG63" s="219" t="e">
        <f t="shared" si="65"/>
        <v>#VALUE!</v>
      </c>
      <c r="AH63" s="219" t="e">
        <f t="shared" si="66"/>
        <v>#VALUE!</v>
      </c>
      <c r="AI63" s="206" t="e">
        <f t="shared" si="67"/>
        <v>#VALUE!</v>
      </c>
      <c r="AJ63" s="207" t="e">
        <f t="shared" si="68"/>
        <v>#VALUE!</v>
      </c>
      <c r="AK63" s="217">
        <f t="shared" si="48"/>
        <v>137</v>
      </c>
      <c r="AL63" s="217" t="e">
        <f t="shared" si="69"/>
        <v>#VALUE!</v>
      </c>
      <c r="AM63" s="220" t="e">
        <f t="shared" si="70"/>
        <v>#VALUE!</v>
      </c>
      <c r="AN63" s="220" t="e">
        <f t="shared" si="71"/>
        <v>#VALUE!</v>
      </c>
      <c r="AO63" s="220" t="e">
        <f t="shared" si="72"/>
        <v>#VALUE!</v>
      </c>
      <c r="AP63" s="221" t="e">
        <f t="shared" si="73"/>
        <v>#VALUE!</v>
      </c>
      <c r="AQ63" s="221" t="e">
        <f t="shared" si="74"/>
        <v>#VALUE!</v>
      </c>
      <c r="AR63" s="222" t="e">
        <f t="shared" si="75"/>
        <v>#VALUE!</v>
      </c>
      <c r="AS63" s="223">
        <f>IF(最早退休日期!$B$2="職員",MIN(IF(ISERROR(DATEVALUE(CONCATENATE(AK63+1911,"/",$AA$1000,"/",$AB$1000))),DATEVALUE(CONCATENATE(AK63+1911,"/",3,"/",1)),DATEVALUE(CONCATENATE(AK63+1911,"/",$AA$1000,"/",$AB$1000))),AR63),DATEVALUE(CONCATENATE(AK63+1911,"/2/1")))</f>
        <v>54089</v>
      </c>
      <c r="AT63" s="224" t="e">
        <f t="shared" si="76"/>
        <v>#VALUE!</v>
      </c>
      <c r="AU63" s="224" t="e">
        <f t="shared" si="77"/>
        <v>#VALUE!</v>
      </c>
      <c r="AV63" s="224" t="e">
        <f t="shared" si="89"/>
        <v>#VALUE!</v>
      </c>
      <c r="AW63" s="224" t="e">
        <f t="shared" si="78"/>
        <v>#VALUE!</v>
      </c>
      <c r="AX63" s="224" t="b">
        <f t="shared" si="79"/>
        <v>1</v>
      </c>
      <c r="AY63" s="224" t="e">
        <f t="shared" si="80"/>
        <v>#VALUE!</v>
      </c>
      <c r="AZ63" s="224" t="b">
        <f t="shared" si="81"/>
        <v>1</v>
      </c>
      <c r="BA63" s="224" t="e">
        <f t="shared" si="90"/>
        <v>#VALUE!</v>
      </c>
      <c r="BB63" s="224" t="e">
        <f t="shared" si="91"/>
        <v>#VALUE!</v>
      </c>
      <c r="BC63" s="224" t="e">
        <f t="shared" si="92"/>
        <v>#VALUE!</v>
      </c>
      <c r="BD63" s="225" t="e">
        <f t="shared" si="82"/>
        <v>#VALUE!</v>
      </c>
      <c r="BE63" s="225" t="e">
        <f t="shared" si="83"/>
        <v>#VALUE!</v>
      </c>
      <c r="BF63" s="225" t="e">
        <f t="shared" si="84"/>
        <v>#VALUE!</v>
      </c>
      <c r="BG63" s="226" t="e">
        <f t="shared" si="85"/>
        <v>#VALUE!</v>
      </c>
      <c r="BH63" s="227" t="e">
        <f t="shared" si="86"/>
        <v>#VALUE!</v>
      </c>
    </row>
    <row r="64" spans="1:60" x14ac:dyDescent="0.25">
      <c r="A64" s="216" t="str">
        <f t="shared" si="36"/>
        <v/>
      </c>
      <c r="B64" s="217" t="str">
        <f t="shared" si="37"/>
        <v/>
      </c>
      <c r="C64" s="217" t="str">
        <f t="shared" si="38"/>
        <v/>
      </c>
      <c r="D64" s="217" t="str">
        <f t="shared" si="39"/>
        <v/>
      </c>
      <c r="E64" s="217" t="str">
        <f t="shared" si="40"/>
        <v/>
      </c>
      <c r="F64" s="217" t="str">
        <f t="shared" si="41"/>
        <v/>
      </c>
      <c r="G64" s="217" t="str">
        <f t="shared" si="42"/>
        <v/>
      </c>
      <c r="H64" s="218" t="str">
        <f t="shared" si="43"/>
        <v/>
      </c>
      <c r="I64" s="219" t="str">
        <f t="shared" si="44"/>
        <v/>
      </c>
      <c r="J64" s="219" t="str">
        <f t="shared" si="45"/>
        <v/>
      </c>
      <c r="K64" s="206" t="str">
        <f t="shared" si="46"/>
        <v/>
      </c>
      <c r="L64" s="272" t="str">
        <f t="shared" si="47"/>
        <v/>
      </c>
      <c r="M64" s="216">
        <f>IF(最早可退休日期!$D$2&lt;&gt;"職員",Y66,IF(AND($AS$3&lt;$AS$2,$AS$4&lt;$AS$2),Y66,IF($AS$3&lt;$AS$2,Y65,Y64)))</f>
        <v>138</v>
      </c>
      <c r="N64" s="217" t="str">
        <f>IF(最早可退休日期!$D$2&lt;&gt;"職員",Z66,IF(AND($AS$3&lt;$AS$2,$AS$4&lt;$AS$2),Z66,IF($AS$3&lt;$AS$2,Z65,Z64)))</f>
        <v>無</v>
      </c>
      <c r="O64" s="217">
        <f>IF(最早可退休日期!$D$2&lt;&gt;"職員",AA66,IF(AND($AS$3&lt;$AS$2,$AS$4&lt;$AS$2),AA66,IF($AS$3&lt;$AS$2,AA65,AA64)))</f>
        <v>58</v>
      </c>
      <c r="P64" s="217">
        <f>IF(最早可退休日期!$D$2&lt;&gt;"職員",AB66,IF(AND($AS$3&lt;$AS$2,$AS$4&lt;$AS$2),AB66,IF($AS$3&lt;$AS$2,AB65,AB64)))</f>
        <v>55</v>
      </c>
      <c r="Q64" s="217">
        <f>IF(最早可退休日期!$D$2&lt;&gt;"職員",AC66,IF(AND($AS$3&lt;$AS$2,$AS$4&lt;$AS$2),AC66,IF($AS$3&lt;$AS$2,AC65,AC64)))</f>
        <v>138</v>
      </c>
      <c r="R64" s="217" t="e">
        <f>IF(最早可退休日期!$D$2&lt;&gt;"職員",AD66,IF(AND($AS$3&lt;$AS$2,$AS$4&lt;$AS$2),AD66,IF($AS$3&lt;$AS$2,AD65,AD64)))</f>
        <v>#VALUE!</v>
      </c>
      <c r="S64" s="217" t="e">
        <f>IF(最早可退休日期!$D$2&lt;&gt;"職員",AE66,IF(AND($AS$3&lt;$AS$2,$AS$4&lt;$AS$2),AE66,IF($AS$3&lt;$AS$2,AE65,AE64)))</f>
        <v>#VALUE!</v>
      </c>
      <c r="T64" s="218" t="str">
        <f>IF(最早可退休日期!$D$2&lt;&gt;"職員",AF66,IF(AND($AS$3&lt;$AS$2,$AS$4&lt;$AS$2),AF66,IF($AS$3&lt;$AS$2,AF65,AF64)))</f>
        <v>138年8月1日</v>
      </c>
      <c r="U64" s="219" t="e">
        <f>IF(最早可退休日期!$D$2&lt;&gt;"職員",AG66,IF(AND($AS$3&lt;$AS$2,$AS$4&lt;$AS$2),AG66,IF($AS$3&lt;$AS$2,AG65,AG64)))</f>
        <v>#VALUE!</v>
      </c>
      <c r="V64" s="219" t="e">
        <f>IF(最早可退休日期!$D$2&lt;&gt;"職員",AH66,IF(AND($AS$3&lt;$AS$2,$AS$4&lt;$AS$2),AH66,IF($AS$3&lt;$AS$2,AH65,AH64)))</f>
        <v>#VALUE!</v>
      </c>
      <c r="W64" s="206" t="e">
        <f>IF(最早可退休日期!$D$2&lt;&gt;"職員",AI66,IF(AND($AS$3&lt;$AS$2,$AS$4&lt;$AS$2),AI66,IF($AS$3&lt;$AS$2,AI65,AI64)))</f>
        <v>#VALUE!</v>
      </c>
      <c r="X64" s="207" t="e">
        <f>IF(最早可退休日期!$D$2&lt;&gt;"職員",AJ66,IF(AND($AS$3&lt;$AS$2,$AS$4&lt;$AS$2),AJ66,IF($AS$3&lt;$AS$2,AJ65,AJ64)))</f>
        <v>#VALUE!</v>
      </c>
      <c r="Y64" s="217">
        <f t="shared" si="61"/>
        <v>137</v>
      </c>
      <c r="Z64" s="217" t="str">
        <f t="shared" si="31"/>
        <v>無</v>
      </c>
      <c r="AA64" s="217">
        <f>IF(最早退休日期!$B$1="中等以下教師",58,IF(Y64&gt;=122,65,IF(Y64&lt;107,50,VLOOKUP(Y64,Legal_Year,3,0))))</f>
        <v>58</v>
      </c>
      <c r="AB64" s="217">
        <f t="shared" si="87"/>
        <v>55</v>
      </c>
      <c r="AC64" s="217">
        <f t="shared" si="62"/>
        <v>137</v>
      </c>
      <c r="AD64" s="217" t="e">
        <f t="shared" si="63"/>
        <v>#VALUE!</v>
      </c>
      <c r="AE64" s="217" t="e">
        <f t="shared" si="88"/>
        <v>#VALUE!</v>
      </c>
      <c r="AF64" s="227" t="str">
        <f t="shared" si="64"/>
        <v>137年8月1日</v>
      </c>
      <c r="AG64" s="219" t="e">
        <f t="shared" si="65"/>
        <v>#VALUE!</v>
      </c>
      <c r="AH64" s="219" t="e">
        <f t="shared" si="66"/>
        <v>#VALUE!</v>
      </c>
      <c r="AI64" s="206" t="e">
        <f t="shared" si="67"/>
        <v>#VALUE!</v>
      </c>
      <c r="AJ64" s="207" t="e">
        <f t="shared" si="68"/>
        <v>#VALUE!</v>
      </c>
      <c r="AK64" s="217">
        <f t="shared" si="48"/>
        <v>137</v>
      </c>
      <c r="AL64" s="217" t="e">
        <f t="shared" si="69"/>
        <v>#VALUE!</v>
      </c>
      <c r="AM64" s="220" t="e">
        <f t="shared" si="70"/>
        <v>#VALUE!</v>
      </c>
      <c r="AN64" s="220" t="e">
        <f t="shared" si="71"/>
        <v>#VALUE!</v>
      </c>
      <c r="AO64" s="220" t="e">
        <f t="shared" si="72"/>
        <v>#VALUE!</v>
      </c>
      <c r="AP64" s="221" t="e">
        <f t="shared" si="73"/>
        <v>#VALUE!</v>
      </c>
      <c r="AQ64" s="221" t="e">
        <f t="shared" si="74"/>
        <v>#VALUE!</v>
      </c>
      <c r="AR64" s="222" t="e">
        <f t="shared" si="75"/>
        <v>#VALUE!</v>
      </c>
      <c r="AS64" s="223">
        <f>IF(最早退休日期!$B$2="職員",MAX(IF(ISERROR(DATEVALUE(CONCATENATE(AK64+1911,"/",$AA$1000,"/",$AB$1000))),DATEVALUE(CONCATENATE(AK64+1911,"/",3,"/",1)),DATEVALUE(CONCATENATE(AK64+1911,"/",$AA$1000,"/",$AB$1000))),AR64),DATEVALUE(CONCATENATE(AK64+1911,"/8/1")))</f>
        <v>54271</v>
      </c>
      <c r="AT64" s="224" t="e">
        <f t="shared" si="76"/>
        <v>#VALUE!</v>
      </c>
      <c r="AU64" s="224" t="e">
        <f t="shared" si="77"/>
        <v>#VALUE!</v>
      </c>
      <c r="AV64" s="224" t="e">
        <f t="shared" si="89"/>
        <v>#VALUE!</v>
      </c>
      <c r="AW64" s="224" t="e">
        <f t="shared" si="78"/>
        <v>#VALUE!</v>
      </c>
      <c r="AX64" s="224" t="b">
        <f t="shared" si="79"/>
        <v>1</v>
      </c>
      <c r="AY64" s="224" t="e">
        <f t="shared" si="80"/>
        <v>#VALUE!</v>
      </c>
      <c r="AZ64" s="224" t="b">
        <f t="shared" si="81"/>
        <v>1</v>
      </c>
      <c r="BA64" s="224" t="e">
        <f t="shared" si="90"/>
        <v>#VALUE!</v>
      </c>
      <c r="BB64" s="224" t="e">
        <f t="shared" si="91"/>
        <v>#VALUE!</v>
      </c>
      <c r="BC64" s="224" t="e">
        <f t="shared" si="92"/>
        <v>#VALUE!</v>
      </c>
      <c r="BD64" s="225" t="e">
        <f t="shared" si="82"/>
        <v>#VALUE!</v>
      </c>
      <c r="BE64" s="225" t="e">
        <f t="shared" si="83"/>
        <v>#VALUE!</v>
      </c>
      <c r="BF64" s="225" t="e">
        <f t="shared" si="84"/>
        <v>#VALUE!</v>
      </c>
      <c r="BG64" s="226" t="e">
        <f t="shared" si="85"/>
        <v>#VALUE!</v>
      </c>
      <c r="BH64" s="227" t="e">
        <f t="shared" si="86"/>
        <v>#VALUE!</v>
      </c>
    </row>
    <row r="65" spans="1:60" x14ac:dyDescent="0.25">
      <c r="A65" s="216" t="str">
        <f t="shared" si="36"/>
        <v/>
      </c>
      <c r="B65" s="217" t="str">
        <f t="shared" si="37"/>
        <v/>
      </c>
      <c r="C65" s="217" t="str">
        <f t="shared" si="38"/>
        <v/>
      </c>
      <c r="D65" s="217" t="str">
        <f t="shared" si="39"/>
        <v/>
      </c>
      <c r="E65" s="217" t="str">
        <f t="shared" si="40"/>
        <v/>
      </c>
      <c r="F65" s="217" t="str">
        <f t="shared" si="41"/>
        <v/>
      </c>
      <c r="G65" s="217" t="str">
        <f t="shared" si="42"/>
        <v/>
      </c>
      <c r="H65" s="218" t="str">
        <f t="shared" si="43"/>
        <v/>
      </c>
      <c r="I65" s="219" t="str">
        <f t="shared" si="44"/>
        <v/>
      </c>
      <c r="J65" s="219" t="str">
        <f t="shared" si="45"/>
        <v/>
      </c>
      <c r="K65" s="206" t="str">
        <f t="shared" si="46"/>
        <v/>
      </c>
      <c r="L65" s="272" t="str">
        <f t="shared" si="47"/>
        <v/>
      </c>
      <c r="M65" s="216">
        <f>IF(最早可退休日期!$D$2&lt;&gt;"職員",Y67,IF(AND($AS$3&lt;$AS$2,$AS$4&lt;$AS$2),Y67,IF($AS$3&lt;$AS$2,Y66,Y65)))</f>
        <v>139</v>
      </c>
      <c r="N65" s="217" t="str">
        <f>IF(最早可退休日期!$D$2&lt;&gt;"職員",Z67,IF(AND($AS$3&lt;$AS$2,$AS$4&lt;$AS$2),Z67,IF($AS$3&lt;$AS$2,Z66,Z65)))</f>
        <v>無</v>
      </c>
      <c r="O65" s="217">
        <f>IF(最早可退休日期!$D$2&lt;&gt;"職員",AA67,IF(AND($AS$3&lt;$AS$2,$AS$4&lt;$AS$2),AA67,IF($AS$3&lt;$AS$2,AA66,AA65)))</f>
        <v>58</v>
      </c>
      <c r="P65" s="217">
        <f>IF(最早可退休日期!$D$2&lt;&gt;"職員",AB67,IF(AND($AS$3&lt;$AS$2,$AS$4&lt;$AS$2),AB67,IF($AS$3&lt;$AS$2,AB66,AB65)))</f>
        <v>55</v>
      </c>
      <c r="Q65" s="217">
        <f>IF(最早可退休日期!$D$2&lt;&gt;"職員",AC67,IF(AND($AS$3&lt;$AS$2,$AS$4&lt;$AS$2),AC67,IF($AS$3&lt;$AS$2,AC66,AC65)))</f>
        <v>139</v>
      </c>
      <c r="R65" s="217" t="e">
        <f>IF(最早可退休日期!$D$2&lt;&gt;"職員",AD67,IF(AND($AS$3&lt;$AS$2,$AS$4&lt;$AS$2),AD67,IF($AS$3&lt;$AS$2,AD66,AD65)))</f>
        <v>#VALUE!</v>
      </c>
      <c r="S65" s="217" t="e">
        <f>IF(最早可退休日期!$D$2&lt;&gt;"職員",AE67,IF(AND($AS$3&lt;$AS$2,$AS$4&lt;$AS$2),AE67,IF($AS$3&lt;$AS$2,AE66,AE65)))</f>
        <v>#VALUE!</v>
      </c>
      <c r="T65" s="218" t="str">
        <f>IF(最早可退休日期!$D$2&lt;&gt;"職員",AF67,IF(AND($AS$3&lt;$AS$2,$AS$4&lt;$AS$2),AF67,IF($AS$3&lt;$AS$2,AF66,AF65)))</f>
        <v>139年2月1日</v>
      </c>
      <c r="U65" s="219" t="e">
        <f>IF(最早可退休日期!$D$2&lt;&gt;"職員",AG67,IF(AND($AS$3&lt;$AS$2,$AS$4&lt;$AS$2),AG67,IF($AS$3&lt;$AS$2,AG66,AG65)))</f>
        <v>#VALUE!</v>
      </c>
      <c r="V65" s="219" t="e">
        <f>IF(最早可退休日期!$D$2&lt;&gt;"職員",AH67,IF(AND($AS$3&lt;$AS$2,$AS$4&lt;$AS$2),AH67,IF($AS$3&lt;$AS$2,AH66,AH65)))</f>
        <v>#VALUE!</v>
      </c>
      <c r="W65" s="206" t="e">
        <f>IF(最早可退休日期!$D$2&lt;&gt;"職員",AI67,IF(AND($AS$3&lt;$AS$2,$AS$4&lt;$AS$2),AI67,IF($AS$3&lt;$AS$2,AI66,AI65)))</f>
        <v>#VALUE!</v>
      </c>
      <c r="X65" s="207" t="e">
        <f>IF(最早可退休日期!$D$2&lt;&gt;"職員",AJ67,IF(AND($AS$3&lt;$AS$2,$AS$4&lt;$AS$2),AJ67,IF($AS$3&lt;$AS$2,AJ66,AJ65)))</f>
        <v>#VALUE!</v>
      </c>
      <c r="Y65" s="217">
        <f t="shared" si="61"/>
        <v>138</v>
      </c>
      <c r="Z65" s="217" t="str">
        <f t="shared" si="31"/>
        <v>無</v>
      </c>
      <c r="AA65" s="217">
        <f>IF(最早退休日期!$B$1="中等以下教師",58,IF(Y65&gt;=122,65,IF(Y65&lt;107,50,VLOOKUP(Y65,Legal_Year,3,0))))</f>
        <v>58</v>
      </c>
      <c r="AB65" s="217">
        <f t="shared" si="87"/>
        <v>55</v>
      </c>
      <c r="AC65" s="217">
        <f t="shared" si="62"/>
        <v>138</v>
      </c>
      <c r="AD65" s="217" t="e">
        <f t="shared" si="63"/>
        <v>#VALUE!</v>
      </c>
      <c r="AE65" s="217" t="e">
        <f t="shared" si="88"/>
        <v>#VALUE!</v>
      </c>
      <c r="AF65" s="227" t="str">
        <f t="shared" si="64"/>
        <v>138年2月1日</v>
      </c>
      <c r="AG65" s="219" t="e">
        <f t="shared" si="65"/>
        <v>#VALUE!</v>
      </c>
      <c r="AH65" s="219" t="e">
        <f t="shared" si="66"/>
        <v>#VALUE!</v>
      </c>
      <c r="AI65" s="206" t="e">
        <f t="shared" si="67"/>
        <v>#VALUE!</v>
      </c>
      <c r="AJ65" s="207" t="e">
        <f t="shared" si="68"/>
        <v>#VALUE!</v>
      </c>
      <c r="AK65" s="217">
        <f t="shared" si="48"/>
        <v>138</v>
      </c>
      <c r="AL65" s="217" t="e">
        <f t="shared" si="69"/>
        <v>#VALUE!</v>
      </c>
      <c r="AM65" s="220" t="e">
        <f t="shared" si="70"/>
        <v>#VALUE!</v>
      </c>
      <c r="AN65" s="220" t="e">
        <f t="shared" si="71"/>
        <v>#VALUE!</v>
      </c>
      <c r="AO65" s="220" t="e">
        <f t="shared" si="72"/>
        <v>#VALUE!</v>
      </c>
      <c r="AP65" s="221" t="e">
        <f t="shared" si="73"/>
        <v>#VALUE!</v>
      </c>
      <c r="AQ65" s="221" t="e">
        <f t="shared" si="74"/>
        <v>#VALUE!</v>
      </c>
      <c r="AR65" s="222" t="e">
        <f t="shared" si="75"/>
        <v>#VALUE!</v>
      </c>
      <c r="AS65" s="223">
        <f>IF(最早退休日期!$B$2="職員",MIN(IF(ISERROR(DATEVALUE(CONCATENATE(AK65+1911,"/",$AA$1000,"/",$AB$1000))),DATEVALUE(CONCATENATE(AK65+1911,"/",3,"/",1)),DATEVALUE(CONCATENATE(AK65+1911,"/",$AA$1000,"/",$AB$1000))),AR65),DATEVALUE(CONCATENATE(AK65+1911,"/2/1")))</f>
        <v>54455</v>
      </c>
      <c r="AT65" s="224" t="e">
        <f t="shared" si="76"/>
        <v>#VALUE!</v>
      </c>
      <c r="AU65" s="224" t="e">
        <f t="shared" si="77"/>
        <v>#VALUE!</v>
      </c>
      <c r="AV65" s="224" t="e">
        <f t="shared" si="89"/>
        <v>#VALUE!</v>
      </c>
      <c r="AW65" s="224" t="e">
        <f t="shared" si="78"/>
        <v>#VALUE!</v>
      </c>
      <c r="AX65" s="224" t="b">
        <f t="shared" si="79"/>
        <v>1</v>
      </c>
      <c r="AY65" s="224" t="e">
        <f t="shared" si="80"/>
        <v>#VALUE!</v>
      </c>
      <c r="AZ65" s="224" t="b">
        <f t="shared" si="81"/>
        <v>1</v>
      </c>
      <c r="BA65" s="224" t="e">
        <f t="shared" si="90"/>
        <v>#VALUE!</v>
      </c>
      <c r="BB65" s="224" t="e">
        <f t="shared" si="91"/>
        <v>#VALUE!</v>
      </c>
      <c r="BC65" s="224" t="e">
        <f t="shared" si="92"/>
        <v>#VALUE!</v>
      </c>
      <c r="BD65" s="225" t="e">
        <f t="shared" si="82"/>
        <v>#VALUE!</v>
      </c>
      <c r="BE65" s="225" t="e">
        <f t="shared" si="83"/>
        <v>#VALUE!</v>
      </c>
      <c r="BF65" s="225" t="e">
        <f t="shared" si="84"/>
        <v>#VALUE!</v>
      </c>
      <c r="BG65" s="226" t="e">
        <f t="shared" si="85"/>
        <v>#VALUE!</v>
      </c>
      <c r="BH65" s="227" t="e">
        <f t="shared" si="86"/>
        <v>#VALUE!</v>
      </c>
    </row>
    <row r="66" spans="1:60" x14ac:dyDescent="0.25">
      <c r="A66" s="216" t="str">
        <f t="shared" si="36"/>
        <v/>
      </c>
      <c r="B66" s="217" t="str">
        <f t="shared" si="37"/>
        <v/>
      </c>
      <c r="C66" s="217" t="str">
        <f t="shared" si="38"/>
        <v/>
      </c>
      <c r="D66" s="217" t="str">
        <f t="shared" si="39"/>
        <v/>
      </c>
      <c r="E66" s="217" t="str">
        <f t="shared" si="40"/>
        <v/>
      </c>
      <c r="F66" s="217" t="str">
        <f t="shared" si="41"/>
        <v/>
      </c>
      <c r="G66" s="217" t="str">
        <f t="shared" si="42"/>
        <v/>
      </c>
      <c r="H66" s="218" t="str">
        <f t="shared" si="43"/>
        <v/>
      </c>
      <c r="I66" s="219" t="str">
        <f t="shared" si="44"/>
        <v/>
      </c>
      <c r="J66" s="219" t="str">
        <f t="shared" si="45"/>
        <v/>
      </c>
      <c r="K66" s="206" t="str">
        <f t="shared" si="46"/>
        <v/>
      </c>
      <c r="L66" s="272" t="str">
        <f t="shared" si="47"/>
        <v/>
      </c>
      <c r="M66" s="216">
        <f>IF(最早可退休日期!$D$2&lt;&gt;"職員",Y68,IF(AND($AS$3&lt;$AS$2,$AS$4&lt;$AS$2),Y68,IF($AS$3&lt;$AS$2,Y67,Y66)))</f>
        <v>139</v>
      </c>
      <c r="N66" s="217" t="str">
        <f>IF(最早可退休日期!$D$2&lt;&gt;"職員",Z68,IF(AND($AS$3&lt;$AS$2,$AS$4&lt;$AS$2),Z68,IF($AS$3&lt;$AS$2,Z67,Z66)))</f>
        <v>無</v>
      </c>
      <c r="O66" s="217">
        <f>IF(最早可退休日期!$D$2&lt;&gt;"職員",AA68,IF(AND($AS$3&lt;$AS$2,$AS$4&lt;$AS$2),AA68,IF($AS$3&lt;$AS$2,AA67,AA66)))</f>
        <v>58</v>
      </c>
      <c r="P66" s="217">
        <f>IF(最早可退休日期!$D$2&lt;&gt;"職員",AB68,IF(AND($AS$3&lt;$AS$2,$AS$4&lt;$AS$2),AB68,IF($AS$3&lt;$AS$2,AB67,AB66)))</f>
        <v>55</v>
      </c>
      <c r="Q66" s="217">
        <f>IF(最早可退休日期!$D$2&lt;&gt;"職員",AC68,IF(AND($AS$3&lt;$AS$2,$AS$4&lt;$AS$2),AC68,IF($AS$3&lt;$AS$2,AC67,AC66)))</f>
        <v>139</v>
      </c>
      <c r="R66" s="217" t="e">
        <f>IF(最早可退休日期!$D$2&lt;&gt;"職員",AD68,IF(AND($AS$3&lt;$AS$2,$AS$4&lt;$AS$2),AD68,IF($AS$3&lt;$AS$2,AD67,AD66)))</f>
        <v>#VALUE!</v>
      </c>
      <c r="S66" s="217" t="e">
        <f>IF(最早可退休日期!$D$2&lt;&gt;"職員",AE68,IF(AND($AS$3&lt;$AS$2,$AS$4&lt;$AS$2),AE68,IF($AS$3&lt;$AS$2,AE67,AE66)))</f>
        <v>#VALUE!</v>
      </c>
      <c r="T66" s="218" t="str">
        <f>IF(最早可退休日期!$D$2&lt;&gt;"職員",AF68,IF(AND($AS$3&lt;$AS$2,$AS$4&lt;$AS$2),AF68,IF($AS$3&lt;$AS$2,AF67,AF66)))</f>
        <v>139年8月1日</v>
      </c>
      <c r="U66" s="219" t="e">
        <f>IF(最早可退休日期!$D$2&lt;&gt;"職員",AG68,IF(AND($AS$3&lt;$AS$2,$AS$4&lt;$AS$2),AG68,IF($AS$3&lt;$AS$2,AG67,AG66)))</f>
        <v>#VALUE!</v>
      </c>
      <c r="V66" s="219" t="e">
        <f>IF(最早可退休日期!$D$2&lt;&gt;"職員",AH68,IF(AND($AS$3&lt;$AS$2,$AS$4&lt;$AS$2),AH68,IF($AS$3&lt;$AS$2,AH67,AH66)))</f>
        <v>#VALUE!</v>
      </c>
      <c r="W66" s="206" t="e">
        <f>IF(最早可退休日期!$D$2&lt;&gt;"職員",AI68,IF(AND($AS$3&lt;$AS$2,$AS$4&lt;$AS$2),AI68,IF($AS$3&lt;$AS$2,AI67,AI66)))</f>
        <v>#VALUE!</v>
      </c>
      <c r="X66" s="207" t="e">
        <f>IF(最早可退休日期!$D$2&lt;&gt;"職員",AJ68,IF(AND($AS$3&lt;$AS$2,$AS$4&lt;$AS$2),AJ68,IF($AS$3&lt;$AS$2,AJ67,AJ66)))</f>
        <v>#VALUE!</v>
      </c>
      <c r="Y66" s="217">
        <f t="shared" ref="Y66:Y84" si="93">(YEAR(AS66)&amp;"")-1911</f>
        <v>138</v>
      </c>
      <c r="Z66" s="217" t="str">
        <f t="shared" si="31"/>
        <v>無</v>
      </c>
      <c r="AA66" s="217">
        <f>IF(最早退休日期!$B$1="中等以下教師",58,IF(Y66&gt;=122,65,IF(Y66&lt;107,50,VLOOKUP(Y66,Legal_Year,3,0))))</f>
        <v>58</v>
      </c>
      <c r="AB66" s="217">
        <f t="shared" si="87"/>
        <v>55</v>
      </c>
      <c r="AC66" s="217">
        <f t="shared" ref="AC66:AC84" si="94">IF(OR(MONTH(AS66)&lt;$AA$1000,AND(MONTH(AS66)=$AA$1000,DAY(AS66)&lt;$AB$1000)),Y66-1,Y66)-$Z$1000</f>
        <v>138</v>
      </c>
      <c r="AD66" s="217" t="e">
        <f t="shared" ref="AD66:AD84" si="95">IF(AS66&gt;=AR66,AL66,AL66-1)</f>
        <v>#VALUE!</v>
      </c>
      <c r="AE66" s="217" t="e">
        <f t="shared" si="88"/>
        <v>#VALUE!</v>
      </c>
      <c r="AF66" s="227" t="str">
        <f t="shared" ref="AF66:AF84" si="96">CONCATENATE((YEAR(AS66)&amp;"")-1911,"年",MONTH(AS66),"月",DAY(AS66),"日")</f>
        <v>138年8月1日</v>
      </c>
      <c r="AG66" s="219" t="e">
        <f t="shared" ref="AG66:AG84" si="97">IF(BD66="","","O")</f>
        <v>#VALUE!</v>
      </c>
      <c r="AH66" s="219" t="e">
        <f t="shared" ref="AH66:AH84" si="98">IF(BE66="","","O")</f>
        <v>#VALUE!</v>
      </c>
      <c r="AI66" s="206" t="e">
        <f t="shared" ref="AI66:AI84" si="99">IF(BF66="","","O")</f>
        <v>#VALUE!</v>
      </c>
      <c r="AJ66" s="207" t="e">
        <f t="shared" ref="AJ66:AJ84" si="100">IF(BH66="","",CONCATENATE((YEAR(BH66)&amp;"")-1911,"年",MONTH(BH66),"月",DAY(BH66),"日"))</f>
        <v>#VALUE!</v>
      </c>
      <c r="AK66" s="217">
        <f t="shared" si="48"/>
        <v>138</v>
      </c>
      <c r="AL66" s="217" t="e">
        <f t="shared" ref="AL66:AL84" si="101">AK66-($Z$1007-($Z$1001+1))</f>
        <v>#VALUE!</v>
      </c>
      <c r="AM66" s="220" t="e">
        <f t="shared" ref="AM66:AM84" si="102">IF($AA$1001+$AB$1001=0,AL66-$Z$1001,AL66-$Z$1001-1)</f>
        <v>#VALUE!</v>
      </c>
      <c r="AN66" s="220" t="e">
        <f t="shared" ref="AN66:AN84" si="103">IF($AB$1001&gt;0,11-$AA$1001,IF($AA$1001=0,0,12-$AA$1001))</f>
        <v>#VALUE!</v>
      </c>
      <c r="AO66" s="220" t="e">
        <f t="shared" ref="AO66:AO84" si="104">IF($AB$1001=0,0,30-$AB$1001)</f>
        <v>#VALUE!</v>
      </c>
      <c r="AP66" s="221" t="e">
        <f t="shared" ref="AP66:AP84" si="105">DATEVALUE(CONCATENATE(AM66+$Z$1002+IF($AA$1002+AN66-1&gt;12,1,IF($AA$1002+AN66-1=0,-1,0))+1911,"/",IF(MOD(AN66+$AA$1002-1,12)=0,12,MOD(AN66+$AA$1002-1,12)),"/",VLOOKUP(IF(MOD(AN66+$AA$1002-1,12)=0,12,MOD(AN66+$AA$1002-1,12)),Month_Days,2,0)+IF(AND(IF(MOD(AN66+$AA$1002-1,12)=0,12,MOD(AN66+$AA$1002-1,12))=2,MOD(AM66+$Z$1002+IF($AA$1002+AN66-1&gt;12,1,IF($AA$1002+AN66-1=0,-1,0)),4)=1),1,0)))</f>
        <v>#VALUE!</v>
      </c>
      <c r="AQ66" s="221" t="e">
        <f t="shared" ref="AQ66:AQ84" si="106">DATEVALUE(CONCATENATE(AM66+$Z$1002+IF($AA$1002+AN66&gt;12,1,0)+1911,"/",IF(MOD(AN66+$AA$1002,12)=0,12,MOD(AN66+$AA$1002,12)),"/",VLOOKUP(IF(MOD(AN66+$AA$1002,12)=0,12,MOD(AN66+$AA$1002,12)),Month_Days,2,0)+IF(AND(IF(MOD(AN66+$AA$1002,12)=0,12,MOD(AN66+$AA$1002,12))=2,MOD(AM66+$Z$1002+IF($AA$1002+AN66&gt;12,1,0),4)=1),1,0)))</f>
        <v>#VALUE!</v>
      </c>
      <c r="AR66" s="222" t="e">
        <f t="shared" ref="AR66:AR84" si="107">IF(AND(AO66&gt;=$AD$1002,$AD$1002&gt;0),AQ66+AO66-$AD$1002,IF(AND(AO66&gt;=$AD$1002,$AD$1002=0),MIN(AP66+AO66,AQ66),MIN(AP66+($AC$1002-$AD$1002)+AO66,AQ66)))+1</f>
        <v>#VALUE!</v>
      </c>
      <c r="AS66" s="223">
        <f>IF(最早退休日期!$B$2="職員",MAX(IF(ISERROR(DATEVALUE(CONCATENATE(AK66+1911,"/",$AA$1000,"/",$AB$1000))),DATEVALUE(CONCATENATE(AK66+1911,"/",3,"/",1)),DATEVALUE(CONCATENATE(AK66+1911,"/",$AA$1000,"/",$AB$1000))),AR66),DATEVALUE(CONCATENATE(AK66+1911,"/8/1")))</f>
        <v>54636</v>
      </c>
      <c r="AT66" s="224" t="e">
        <f t="shared" ref="AT66:AT84" si="108">AD66&gt;=25</f>
        <v>#VALUE!</v>
      </c>
      <c r="AU66" s="224" t="e">
        <f t="shared" ref="AU66:AU84" si="109">AND(AC66&gt;=60,AD66&gt;=5)</f>
        <v>#VALUE!</v>
      </c>
      <c r="AV66" s="224" t="e">
        <f t="shared" si="89"/>
        <v>#VALUE!</v>
      </c>
      <c r="AW66" s="224" t="e">
        <f t="shared" ref="AW66:AW84" si="110">AE66&gt;=Z66</f>
        <v>#VALUE!</v>
      </c>
      <c r="AX66" s="224" t="b">
        <f t="shared" ref="AX66:AX84" si="111">AC66&gt;=AB66</f>
        <v>1</v>
      </c>
      <c r="AY66" s="224" t="e">
        <f t="shared" ref="AY66:AY84" si="112">AD66&gt;=15</f>
        <v>#VALUE!</v>
      </c>
      <c r="AZ66" s="224" t="b">
        <f t="shared" ref="AZ66:AZ84" si="113">AC66&gt;=AA66</f>
        <v>1</v>
      </c>
      <c r="BA66" s="224" t="e">
        <f t="shared" si="90"/>
        <v>#VALUE!</v>
      </c>
      <c r="BB66" s="224" t="e">
        <f t="shared" si="91"/>
        <v>#VALUE!</v>
      </c>
      <c r="BC66" s="224" t="e">
        <f t="shared" si="92"/>
        <v>#VALUE!</v>
      </c>
      <c r="BD66" s="225" t="e">
        <f t="shared" ref="BD66:BD84" si="114">IF(AND(AV66,BC66),AS66,"")</f>
        <v>#VALUE!</v>
      </c>
      <c r="BE66" s="225" t="e">
        <f t="shared" ref="BE66:BE84" si="115">IF(AND(AV66,AY66,BC66=FALSE,AC66&gt;=AA66-5,AC66&lt;AA66),AS66,"")</f>
        <v>#VALUE!</v>
      </c>
      <c r="BF66" s="225" t="e">
        <f t="shared" ref="BF66:BF84" si="116">IF(AND(AV66,AY66,BC66=FALSE,AC66&lt;AA66),AS66,"")</f>
        <v>#VALUE!</v>
      </c>
      <c r="BG66" s="226" t="e">
        <f t="shared" ref="BG66:BG84" si="117">IF(BE66&lt;&gt;"",-0.04*(AA66-(IF(OR(MONTH(AS66)&lt;$AA$1000,AND(MONTH(AS66)=$AA$1000,DAY(AS66)&lt;$AB$1000)),Y66-1,Y66)-$Z$1000+(IF(IF(DAY(AS66)&lt;$AB$1000,MONTH(AS66)-1,MONTH(AS66))&gt;=$AA$1000,IF(DAY(AS66)&lt;$AB$1000,MONTH(AS66)-1,MONTH(AS66))-$AA$1000,IF(DAY(AS66)&lt;$AB$1000,MONTH(AS66)-1,MONTH(AS66))+12-$AA$1000))/12)),"")</f>
        <v>#VALUE!</v>
      </c>
      <c r="BH66" s="227" t="e">
        <f t="shared" ref="BH66:BH84" si="118">IF(BF66&lt;&gt;"",IF(ISERROR(DATEVALUE(CONCATENATE($Z$1000+AA66+1911,"/",$AA$1000,"/",$AB$1000))),DATEVALUE(CONCATENATE($Z$1000+AA66+1911,"/",3,"/",1)),DATEVALUE(CONCATENATE($Z$1000+AA66+1911,"/",$AA$1000,"/",$AB$1000))),"")</f>
        <v>#VALUE!</v>
      </c>
    </row>
    <row r="67" spans="1:60" x14ac:dyDescent="0.25">
      <c r="A67" s="216" t="str">
        <f t="shared" si="36"/>
        <v/>
      </c>
      <c r="B67" s="217" t="str">
        <f t="shared" si="37"/>
        <v/>
      </c>
      <c r="C67" s="217" t="str">
        <f t="shared" si="38"/>
        <v/>
      </c>
      <c r="D67" s="217" t="str">
        <f t="shared" si="39"/>
        <v/>
      </c>
      <c r="E67" s="217" t="str">
        <f t="shared" si="40"/>
        <v/>
      </c>
      <c r="F67" s="217" t="str">
        <f t="shared" si="41"/>
        <v/>
      </c>
      <c r="G67" s="217" t="str">
        <f t="shared" si="42"/>
        <v/>
      </c>
      <c r="H67" s="218" t="str">
        <f t="shared" si="43"/>
        <v/>
      </c>
      <c r="I67" s="219" t="str">
        <f t="shared" si="44"/>
        <v/>
      </c>
      <c r="J67" s="219" t="str">
        <f t="shared" si="45"/>
        <v/>
      </c>
      <c r="K67" s="206" t="str">
        <f t="shared" si="46"/>
        <v/>
      </c>
      <c r="L67" s="272" t="str">
        <f t="shared" si="47"/>
        <v/>
      </c>
      <c r="M67" s="216">
        <f>IF(最早可退休日期!$D$2&lt;&gt;"職員",Y69,IF(AND($AS$3&lt;$AS$2,$AS$4&lt;$AS$2),Y69,IF($AS$3&lt;$AS$2,Y68,Y67)))</f>
        <v>140</v>
      </c>
      <c r="N67" s="217" t="str">
        <f>IF(最早可退休日期!$D$2&lt;&gt;"職員",Z69,IF(AND($AS$3&lt;$AS$2,$AS$4&lt;$AS$2),Z69,IF($AS$3&lt;$AS$2,Z68,Z67)))</f>
        <v>無</v>
      </c>
      <c r="O67" s="217">
        <f>IF(最早可退休日期!$D$2&lt;&gt;"職員",AA69,IF(AND($AS$3&lt;$AS$2,$AS$4&lt;$AS$2),AA69,IF($AS$3&lt;$AS$2,AA68,AA67)))</f>
        <v>58</v>
      </c>
      <c r="P67" s="217">
        <f>IF(最早可退休日期!$D$2&lt;&gt;"職員",AB69,IF(AND($AS$3&lt;$AS$2,$AS$4&lt;$AS$2),AB69,IF($AS$3&lt;$AS$2,AB68,AB67)))</f>
        <v>55</v>
      </c>
      <c r="Q67" s="217">
        <f>IF(最早可退休日期!$D$2&lt;&gt;"職員",AC69,IF(AND($AS$3&lt;$AS$2,$AS$4&lt;$AS$2),AC69,IF($AS$3&lt;$AS$2,AC68,AC67)))</f>
        <v>140</v>
      </c>
      <c r="R67" s="217" t="e">
        <f>IF(最早可退休日期!$D$2&lt;&gt;"職員",AD69,IF(AND($AS$3&lt;$AS$2,$AS$4&lt;$AS$2),AD69,IF($AS$3&lt;$AS$2,AD68,AD67)))</f>
        <v>#VALUE!</v>
      </c>
      <c r="S67" s="217" t="e">
        <f>IF(最早可退休日期!$D$2&lt;&gt;"職員",AE69,IF(AND($AS$3&lt;$AS$2,$AS$4&lt;$AS$2),AE69,IF($AS$3&lt;$AS$2,AE68,AE67)))</f>
        <v>#VALUE!</v>
      </c>
      <c r="T67" s="218" t="str">
        <f>IF(最早可退休日期!$D$2&lt;&gt;"職員",AF69,IF(AND($AS$3&lt;$AS$2,$AS$4&lt;$AS$2),AF69,IF($AS$3&lt;$AS$2,AF68,AF67)))</f>
        <v>140年2月1日</v>
      </c>
      <c r="U67" s="219" t="e">
        <f>IF(最早可退休日期!$D$2&lt;&gt;"職員",AG69,IF(AND($AS$3&lt;$AS$2,$AS$4&lt;$AS$2),AG69,IF($AS$3&lt;$AS$2,AG68,AG67)))</f>
        <v>#VALUE!</v>
      </c>
      <c r="V67" s="219" t="e">
        <f>IF(最早可退休日期!$D$2&lt;&gt;"職員",AH69,IF(AND($AS$3&lt;$AS$2,$AS$4&lt;$AS$2),AH69,IF($AS$3&lt;$AS$2,AH68,AH67)))</f>
        <v>#VALUE!</v>
      </c>
      <c r="W67" s="206" t="e">
        <f>IF(最早可退休日期!$D$2&lt;&gt;"職員",AI69,IF(AND($AS$3&lt;$AS$2,$AS$4&lt;$AS$2),AI69,IF($AS$3&lt;$AS$2,AI68,AI67)))</f>
        <v>#VALUE!</v>
      </c>
      <c r="X67" s="207" t="e">
        <f>IF(最早可退休日期!$D$2&lt;&gt;"職員",AJ69,IF(AND($AS$3&lt;$AS$2,$AS$4&lt;$AS$2),AJ69,IF($AS$3&lt;$AS$2,AJ68,AJ67)))</f>
        <v>#VALUE!</v>
      </c>
      <c r="Y67" s="217">
        <f t="shared" si="93"/>
        <v>139</v>
      </c>
      <c r="Z67" s="217" t="str">
        <f t="shared" ref="Z67:Z84" si="119">IF(Y67&gt;=122,"無",IF(Y67&lt;107,75,VLOOKUP(Y67,Index,2,0)))</f>
        <v>無</v>
      </c>
      <c r="AA67" s="217">
        <f>IF(最早退休日期!$B$1="中等以下教師",58,IF(Y67&gt;=122,65,IF(Y67&lt;107,50,VLOOKUP(Y67,Legal_Year,3,0))))</f>
        <v>58</v>
      </c>
      <c r="AB67" s="217">
        <f t="shared" si="87"/>
        <v>55</v>
      </c>
      <c r="AC67" s="217">
        <f t="shared" si="94"/>
        <v>139</v>
      </c>
      <c r="AD67" s="217" t="e">
        <f t="shared" si="95"/>
        <v>#VALUE!</v>
      </c>
      <c r="AE67" s="217" t="e">
        <f t="shared" si="88"/>
        <v>#VALUE!</v>
      </c>
      <c r="AF67" s="227" t="str">
        <f t="shared" si="96"/>
        <v>139年2月1日</v>
      </c>
      <c r="AG67" s="219" t="e">
        <f t="shared" si="97"/>
        <v>#VALUE!</v>
      </c>
      <c r="AH67" s="219" t="e">
        <f t="shared" si="98"/>
        <v>#VALUE!</v>
      </c>
      <c r="AI67" s="206" t="e">
        <f t="shared" si="99"/>
        <v>#VALUE!</v>
      </c>
      <c r="AJ67" s="207" t="e">
        <f t="shared" si="100"/>
        <v>#VALUE!</v>
      </c>
      <c r="AK67" s="217">
        <f t="shared" si="48"/>
        <v>139</v>
      </c>
      <c r="AL67" s="217" t="e">
        <f t="shared" si="101"/>
        <v>#VALUE!</v>
      </c>
      <c r="AM67" s="220" t="e">
        <f t="shared" si="102"/>
        <v>#VALUE!</v>
      </c>
      <c r="AN67" s="220" t="e">
        <f t="shared" si="103"/>
        <v>#VALUE!</v>
      </c>
      <c r="AO67" s="220" t="e">
        <f t="shared" si="104"/>
        <v>#VALUE!</v>
      </c>
      <c r="AP67" s="221" t="e">
        <f t="shared" si="105"/>
        <v>#VALUE!</v>
      </c>
      <c r="AQ67" s="221" t="e">
        <f t="shared" si="106"/>
        <v>#VALUE!</v>
      </c>
      <c r="AR67" s="222" t="e">
        <f t="shared" si="107"/>
        <v>#VALUE!</v>
      </c>
      <c r="AS67" s="223">
        <f>IF(最早退休日期!$B$2="職員",MIN(IF(ISERROR(DATEVALUE(CONCATENATE(AK67+1911,"/",$AA$1000,"/",$AB$1000))),DATEVALUE(CONCATENATE(AK67+1911,"/",3,"/",1)),DATEVALUE(CONCATENATE(AK67+1911,"/",$AA$1000,"/",$AB$1000))),AR67),DATEVALUE(CONCATENATE(AK67+1911,"/2/1")))</f>
        <v>54820</v>
      </c>
      <c r="AT67" s="224" t="e">
        <f t="shared" si="108"/>
        <v>#VALUE!</v>
      </c>
      <c r="AU67" s="224" t="e">
        <f t="shared" si="109"/>
        <v>#VALUE!</v>
      </c>
      <c r="AV67" s="224" t="e">
        <f t="shared" si="89"/>
        <v>#VALUE!</v>
      </c>
      <c r="AW67" s="224" t="e">
        <f t="shared" si="110"/>
        <v>#VALUE!</v>
      </c>
      <c r="AX67" s="224" t="b">
        <f t="shared" si="111"/>
        <v>1</v>
      </c>
      <c r="AY67" s="224" t="e">
        <f t="shared" si="112"/>
        <v>#VALUE!</v>
      </c>
      <c r="AZ67" s="224" t="b">
        <f t="shared" si="113"/>
        <v>1</v>
      </c>
      <c r="BA67" s="224" t="e">
        <f t="shared" si="90"/>
        <v>#VALUE!</v>
      </c>
      <c r="BB67" s="224" t="e">
        <f t="shared" si="91"/>
        <v>#VALUE!</v>
      </c>
      <c r="BC67" s="224" t="e">
        <f t="shared" si="92"/>
        <v>#VALUE!</v>
      </c>
      <c r="BD67" s="225" t="e">
        <f t="shared" si="114"/>
        <v>#VALUE!</v>
      </c>
      <c r="BE67" s="225" t="e">
        <f t="shared" si="115"/>
        <v>#VALUE!</v>
      </c>
      <c r="BF67" s="225" t="e">
        <f t="shared" si="116"/>
        <v>#VALUE!</v>
      </c>
      <c r="BG67" s="226" t="e">
        <f t="shared" si="117"/>
        <v>#VALUE!</v>
      </c>
      <c r="BH67" s="227" t="e">
        <f t="shared" si="118"/>
        <v>#VALUE!</v>
      </c>
    </row>
    <row r="68" spans="1:60" x14ac:dyDescent="0.25">
      <c r="A68" s="216" t="str">
        <f t="shared" si="36"/>
        <v/>
      </c>
      <c r="B68" s="217" t="str">
        <f t="shared" si="37"/>
        <v/>
      </c>
      <c r="C68" s="217" t="str">
        <f t="shared" si="38"/>
        <v/>
      </c>
      <c r="D68" s="217" t="str">
        <f t="shared" si="39"/>
        <v/>
      </c>
      <c r="E68" s="217" t="str">
        <f t="shared" si="40"/>
        <v/>
      </c>
      <c r="F68" s="217" t="str">
        <f t="shared" si="41"/>
        <v/>
      </c>
      <c r="G68" s="217" t="str">
        <f t="shared" si="42"/>
        <v/>
      </c>
      <c r="H68" s="218" t="str">
        <f t="shared" si="43"/>
        <v/>
      </c>
      <c r="I68" s="219" t="str">
        <f t="shared" si="44"/>
        <v/>
      </c>
      <c r="J68" s="219" t="str">
        <f t="shared" si="45"/>
        <v/>
      </c>
      <c r="K68" s="206" t="str">
        <f t="shared" si="46"/>
        <v/>
      </c>
      <c r="L68" s="272" t="str">
        <f t="shared" si="47"/>
        <v/>
      </c>
      <c r="M68" s="216">
        <f>IF(最早可退休日期!$D$2&lt;&gt;"職員",Y70,IF(AND($AS$3&lt;$AS$2,$AS$4&lt;$AS$2),Y70,IF($AS$3&lt;$AS$2,Y69,Y68)))</f>
        <v>140</v>
      </c>
      <c r="N68" s="217" t="str">
        <f>IF(最早可退休日期!$D$2&lt;&gt;"職員",Z70,IF(AND($AS$3&lt;$AS$2,$AS$4&lt;$AS$2),Z70,IF($AS$3&lt;$AS$2,Z69,Z68)))</f>
        <v>無</v>
      </c>
      <c r="O68" s="217">
        <f>IF(最早可退休日期!$D$2&lt;&gt;"職員",AA70,IF(AND($AS$3&lt;$AS$2,$AS$4&lt;$AS$2),AA70,IF($AS$3&lt;$AS$2,AA69,AA68)))</f>
        <v>58</v>
      </c>
      <c r="P68" s="217">
        <f>IF(最早可退休日期!$D$2&lt;&gt;"職員",AB70,IF(AND($AS$3&lt;$AS$2,$AS$4&lt;$AS$2),AB70,IF($AS$3&lt;$AS$2,AB69,AB68)))</f>
        <v>55</v>
      </c>
      <c r="Q68" s="217">
        <f>IF(最早可退休日期!$D$2&lt;&gt;"職員",AC70,IF(AND($AS$3&lt;$AS$2,$AS$4&lt;$AS$2),AC70,IF($AS$3&lt;$AS$2,AC69,AC68)))</f>
        <v>140</v>
      </c>
      <c r="R68" s="217" t="e">
        <f>IF(最早可退休日期!$D$2&lt;&gt;"職員",AD70,IF(AND($AS$3&lt;$AS$2,$AS$4&lt;$AS$2),AD70,IF($AS$3&lt;$AS$2,AD69,AD68)))</f>
        <v>#VALUE!</v>
      </c>
      <c r="S68" s="217" t="e">
        <f>IF(最早可退休日期!$D$2&lt;&gt;"職員",AE70,IF(AND($AS$3&lt;$AS$2,$AS$4&lt;$AS$2),AE70,IF($AS$3&lt;$AS$2,AE69,AE68)))</f>
        <v>#VALUE!</v>
      </c>
      <c r="T68" s="218" t="str">
        <f>IF(最早可退休日期!$D$2&lt;&gt;"職員",AF70,IF(AND($AS$3&lt;$AS$2,$AS$4&lt;$AS$2),AF70,IF($AS$3&lt;$AS$2,AF69,AF68)))</f>
        <v>140年8月1日</v>
      </c>
      <c r="U68" s="219" t="e">
        <f>IF(最早可退休日期!$D$2&lt;&gt;"職員",AG70,IF(AND($AS$3&lt;$AS$2,$AS$4&lt;$AS$2),AG70,IF($AS$3&lt;$AS$2,AG69,AG68)))</f>
        <v>#VALUE!</v>
      </c>
      <c r="V68" s="219" t="e">
        <f>IF(最早可退休日期!$D$2&lt;&gt;"職員",AH70,IF(AND($AS$3&lt;$AS$2,$AS$4&lt;$AS$2),AH70,IF($AS$3&lt;$AS$2,AH69,AH68)))</f>
        <v>#VALUE!</v>
      </c>
      <c r="W68" s="206" t="e">
        <f>IF(最早可退休日期!$D$2&lt;&gt;"職員",AI70,IF(AND($AS$3&lt;$AS$2,$AS$4&lt;$AS$2),AI70,IF($AS$3&lt;$AS$2,AI69,AI68)))</f>
        <v>#VALUE!</v>
      </c>
      <c r="X68" s="207" t="e">
        <f>IF(最早可退休日期!$D$2&lt;&gt;"職員",AJ70,IF(AND($AS$3&lt;$AS$2,$AS$4&lt;$AS$2),AJ70,IF($AS$3&lt;$AS$2,AJ69,AJ68)))</f>
        <v>#VALUE!</v>
      </c>
      <c r="Y68" s="217">
        <f t="shared" si="93"/>
        <v>139</v>
      </c>
      <c r="Z68" s="217" t="str">
        <f t="shared" si="119"/>
        <v>無</v>
      </c>
      <c r="AA68" s="217">
        <f>IF(最早退休日期!$B$1="中等以下教師",58,IF(Y68&gt;=122,65,IF(Y68&lt;107,50,VLOOKUP(Y68,Legal_Year,3,0))))</f>
        <v>58</v>
      </c>
      <c r="AB68" s="217">
        <f t="shared" si="87"/>
        <v>55</v>
      </c>
      <c r="AC68" s="217">
        <f t="shared" si="94"/>
        <v>139</v>
      </c>
      <c r="AD68" s="217" t="e">
        <f t="shared" si="95"/>
        <v>#VALUE!</v>
      </c>
      <c r="AE68" s="217" t="e">
        <f t="shared" si="88"/>
        <v>#VALUE!</v>
      </c>
      <c r="AF68" s="227" t="str">
        <f t="shared" si="96"/>
        <v>139年8月1日</v>
      </c>
      <c r="AG68" s="219" t="e">
        <f t="shared" si="97"/>
        <v>#VALUE!</v>
      </c>
      <c r="AH68" s="219" t="e">
        <f t="shared" si="98"/>
        <v>#VALUE!</v>
      </c>
      <c r="AI68" s="206" t="e">
        <f t="shared" si="99"/>
        <v>#VALUE!</v>
      </c>
      <c r="AJ68" s="207" t="e">
        <f t="shared" si="100"/>
        <v>#VALUE!</v>
      </c>
      <c r="AK68" s="217">
        <f t="shared" si="48"/>
        <v>139</v>
      </c>
      <c r="AL68" s="217" t="e">
        <f t="shared" si="101"/>
        <v>#VALUE!</v>
      </c>
      <c r="AM68" s="220" t="e">
        <f t="shared" si="102"/>
        <v>#VALUE!</v>
      </c>
      <c r="AN68" s="220" t="e">
        <f t="shared" si="103"/>
        <v>#VALUE!</v>
      </c>
      <c r="AO68" s="220" t="e">
        <f t="shared" si="104"/>
        <v>#VALUE!</v>
      </c>
      <c r="AP68" s="221" t="e">
        <f t="shared" si="105"/>
        <v>#VALUE!</v>
      </c>
      <c r="AQ68" s="221" t="e">
        <f t="shared" si="106"/>
        <v>#VALUE!</v>
      </c>
      <c r="AR68" s="222" t="e">
        <f t="shared" si="107"/>
        <v>#VALUE!</v>
      </c>
      <c r="AS68" s="223">
        <f>IF(最早退休日期!$B$2="職員",MAX(IF(ISERROR(DATEVALUE(CONCATENATE(AK68+1911,"/",$AA$1000,"/",$AB$1000))),DATEVALUE(CONCATENATE(AK68+1911,"/",3,"/",1)),DATEVALUE(CONCATENATE(AK68+1911,"/",$AA$1000,"/",$AB$1000))),AR68),DATEVALUE(CONCATENATE(AK68+1911,"/8/1")))</f>
        <v>55001</v>
      </c>
      <c r="AT68" s="224" t="e">
        <f t="shared" si="108"/>
        <v>#VALUE!</v>
      </c>
      <c r="AU68" s="224" t="e">
        <f t="shared" si="109"/>
        <v>#VALUE!</v>
      </c>
      <c r="AV68" s="224" t="e">
        <f t="shared" si="89"/>
        <v>#VALUE!</v>
      </c>
      <c r="AW68" s="224" t="e">
        <f t="shared" si="110"/>
        <v>#VALUE!</v>
      </c>
      <c r="AX68" s="224" t="b">
        <f t="shared" si="111"/>
        <v>1</v>
      </c>
      <c r="AY68" s="224" t="e">
        <f t="shared" si="112"/>
        <v>#VALUE!</v>
      </c>
      <c r="AZ68" s="224" t="b">
        <f t="shared" si="113"/>
        <v>1</v>
      </c>
      <c r="BA68" s="224" t="e">
        <f t="shared" si="90"/>
        <v>#VALUE!</v>
      </c>
      <c r="BB68" s="224" t="e">
        <f t="shared" si="91"/>
        <v>#VALUE!</v>
      </c>
      <c r="BC68" s="224" t="e">
        <f t="shared" si="92"/>
        <v>#VALUE!</v>
      </c>
      <c r="BD68" s="225" t="e">
        <f t="shared" si="114"/>
        <v>#VALUE!</v>
      </c>
      <c r="BE68" s="225" t="e">
        <f t="shared" si="115"/>
        <v>#VALUE!</v>
      </c>
      <c r="BF68" s="225" t="e">
        <f t="shared" si="116"/>
        <v>#VALUE!</v>
      </c>
      <c r="BG68" s="226" t="e">
        <f t="shared" si="117"/>
        <v>#VALUE!</v>
      </c>
      <c r="BH68" s="227" t="e">
        <f t="shared" si="118"/>
        <v>#VALUE!</v>
      </c>
    </row>
    <row r="69" spans="1:60" x14ac:dyDescent="0.25">
      <c r="A69" s="216" t="str">
        <f t="shared" ref="A69:A86" si="120">IF(OR($Q67&gt;65,$Q67=0),"",M67)</f>
        <v/>
      </c>
      <c r="B69" s="217" t="str">
        <f t="shared" ref="B69:B86" si="121">IF(OR($Q67&gt;65,$Q67=0),"",N67)</f>
        <v/>
      </c>
      <c r="C69" s="217" t="str">
        <f t="shared" ref="C69:C86" si="122">IF(OR($Q67&gt;65,$Q67=0),"",O67)</f>
        <v/>
      </c>
      <c r="D69" s="217" t="str">
        <f t="shared" ref="D69:D86" si="123">IF(OR($Q67&gt;65,$Q67=0),"",P67)</f>
        <v/>
      </c>
      <c r="E69" s="217" t="str">
        <f t="shared" ref="E69:E86" si="124">IF(OR($Q67&gt;65,$Q67=0),"",Q67)</f>
        <v/>
      </c>
      <c r="F69" s="217" t="str">
        <f t="shared" ref="F69:F86" si="125">IF(OR($Q67&gt;65,$Q67=0),"",R67)</f>
        <v/>
      </c>
      <c r="G69" s="217" t="str">
        <f t="shared" ref="G69:G86" si="126">IF(OR($Q67&gt;65,$Q67=0),"",S67)</f>
        <v/>
      </c>
      <c r="H69" s="218" t="str">
        <f t="shared" ref="H69:H86" si="127">IF(OR($Q67&gt;65,$Q67=0),"",T67)</f>
        <v/>
      </c>
      <c r="I69" s="219" t="str">
        <f t="shared" ref="I69:I86" si="128">IF(OR($Q67&gt;65,$Q67=0),"",U67)</f>
        <v/>
      </c>
      <c r="J69" s="219" t="str">
        <f t="shared" ref="J69:J86" si="129">IF(OR($Q67&gt;65,$Q67=0),"",V67)</f>
        <v/>
      </c>
      <c r="K69" s="206" t="str">
        <f t="shared" ref="K69:K86" si="130">IF(OR($Q67&gt;65,$Q67=0),"",W67)</f>
        <v/>
      </c>
      <c r="L69" s="272" t="str">
        <f t="shared" ref="L69:L86" si="131">IF(OR($Q67&gt;65,$Q67=0),"",X67)</f>
        <v/>
      </c>
      <c r="M69" s="216">
        <f>IF(最早可退休日期!$D$2&lt;&gt;"職員",Y71,IF(AND($AS$3&lt;$AS$2,$AS$4&lt;$AS$2),Y71,IF($AS$3&lt;$AS$2,Y70,Y69)))</f>
        <v>141</v>
      </c>
      <c r="N69" s="217" t="str">
        <f>IF(最早可退休日期!$D$2&lt;&gt;"職員",Z71,IF(AND($AS$3&lt;$AS$2,$AS$4&lt;$AS$2),Z71,IF($AS$3&lt;$AS$2,Z70,Z69)))</f>
        <v>無</v>
      </c>
      <c r="O69" s="217">
        <f>IF(最早可退休日期!$D$2&lt;&gt;"職員",AA71,IF(AND($AS$3&lt;$AS$2,$AS$4&lt;$AS$2),AA71,IF($AS$3&lt;$AS$2,AA70,AA69)))</f>
        <v>58</v>
      </c>
      <c r="P69" s="217">
        <f>IF(最早可退休日期!$D$2&lt;&gt;"職員",AB71,IF(AND($AS$3&lt;$AS$2,$AS$4&lt;$AS$2),AB71,IF($AS$3&lt;$AS$2,AB70,AB69)))</f>
        <v>55</v>
      </c>
      <c r="Q69" s="217">
        <f>IF(最早可退休日期!$D$2&lt;&gt;"職員",AC71,IF(AND($AS$3&lt;$AS$2,$AS$4&lt;$AS$2),AC71,IF($AS$3&lt;$AS$2,AC70,AC69)))</f>
        <v>141</v>
      </c>
      <c r="R69" s="217" t="e">
        <f>IF(最早可退休日期!$D$2&lt;&gt;"職員",AD71,IF(AND($AS$3&lt;$AS$2,$AS$4&lt;$AS$2),AD71,IF($AS$3&lt;$AS$2,AD70,AD69)))</f>
        <v>#VALUE!</v>
      </c>
      <c r="S69" s="217" t="e">
        <f>IF(最早可退休日期!$D$2&lt;&gt;"職員",AE71,IF(AND($AS$3&lt;$AS$2,$AS$4&lt;$AS$2),AE71,IF($AS$3&lt;$AS$2,AE70,AE69)))</f>
        <v>#VALUE!</v>
      </c>
      <c r="T69" s="218" t="str">
        <f>IF(最早可退休日期!$D$2&lt;&gt;"職員",AF71,IF(AND($AS$3&lt;$AS$2,$AS$4&lt;$AS$2),AF71,IF($AS$3&lt;$AS$2,AF70,AF69)))</f>
        <v>141年2月1日</v>
      </c>
      <c r="U69" s="219" t="e">
        <f>IF(最早可退休日期!$D$2&lt;&gt;"職員",AG71,IF(AND($AS$3&lt;$AS$2,$AS$4&lt;$AS$2),AG71,IF($AS$3&lt;$AS$2,AG70,AG69)))</f>
        <v>#VALUE!</v>
      </c>
      <c r="V69" s="219" t="e">
        <f>IF(最早可退休日期!$D$2&lt;&gt;"職員",AH71,IF(AND($AS$3&lt;$AS$2,$AS$4&lt;$AS$2),AH71,IF($AS$3&lt;$AS$2,AH70,AH69)))</f>
        <v>#VALUE!</v>
      </c>
      <c r="W69" s="206" t="e">
        <f>IF(最早可退休日期!$D$2&lt;&gt;"職員",AI71,IF(AND($AS$3&lt;$AS$2,$AS$4&lt;$AS$2),AI71,IF($AS$3&lt;$AS$2,AI70,AI69)))</f>
        <v>#VALUE!</v>
      </c>
      <c r="X69" s="207" t="e">
        <f>IF(最早可退休日期!$D$2&lt;&gt;"職員",AJ71,IF(AND($AS$3&lt;$AS$2,$AS$4&lt;$AS$2),AJ71,IF($AS$3&lt;$AS$2,AJ70,AJ69)))</f>
        <v>#VALUE!</v>
      </c>
      <c r="Y69" s="217">
        <f t="shared" si="93"/>
        <v>140</v>
      </c>
      <c r="Z69" s="217" t="str">
        <f t="shared" si="119"/>
        <v>無</v>
      </c>
      <c r="AA69" s="217">
        <f>IF(最早退休日期!$B$1="中等以下教師",58,IF(Y69&gt;=122,65,IF(Y69&lt;107,50,VLOOKUP(Y69,Legal_Year,3,0))))</f>
        <v>58</v>
      </c>
      <c r="AB69" s="217">
        <f t="shared" si="87"/>
        <v>55</v>
      </c>
      <c r="AC69" s="217">
        <f t="shared" si="94"/>
        <v>140</v>
      </c>
      <c r="AD69" s="217" t="e">
        <f t="shared" si="95"/>
        <v>#VALUE!</v>
      </c>
      <c r="AE69" s="217" t="e">
        <f t="shared" si="88"/>
        <v>#VALUE!</v>
      </c>
      <c r="AF69" s="227" t="str">
        <f t="shared" si="96"/>
        <v>140年2月1日</v>
      </c>
      <c r="AG69" s="219" t="e">
        <f t="shared" si="97"/>
        <v>#VALUE!</v>
      </c>
      <c r="AH69" s="219" t="e">
        <f t="shared" si="98"/>
        <v>#VALUE!</v>
      </c>
      <c r="AI69" s="206" t="e">
        <f t="shared" si="99"/>
        <v>#VALUE!</v>
      </c>
      <c r="AJ69" s="207" t="e">
        <f t="shared" si="100"/>
        <v>#VALUE!</v>
      </c>
      <c r="AK69" s="217">
        <f t="shared" si="48"/>
        <v>140</v>
      </c>
      <c r="AL69" s="217" t="e">
        <f t="shared" si="101"/>
        <v>#VALUE!</v>
      </c>
      <c r="AM69" s="220" t="e">
        <f t="shared" si="102"/>
        <v>#VALUE!</v>
      </c>
      <c r="AN69" s="220" t="e">
        <f t="shared" si="103"/>
        <v>#VALUE!</v>
      </c>
      <c r="AO69" s="220" t="e">
        <f t="shared" si="104"/>
        <v>#VALUE!</v>
      </c>
      <c r="AP69" s="221" t="e">
        <f t="shared" si="105"/>
        <v>#VALUE!</v>
      </c>
      <c r="AQ69" s="221" t="e">
        <f t="shared" si="106"/>
        <v>#VALUE!</v>
      </c>
      <c r="AR69" s="222" t="e">
        <f t="shared" si="107"/>
        <v>#VALUE!</v>
      </c>
      <c r="AS69" s="223">
        <f>IF(最早退休日期!$B$2="職員",MIN(IF(ISERROR(DATEVALUE(CONCATENATE(AK69+1911,"/",$AA$1000,"/",$AB$1000))),DATEVALUE(CONCATENATE(AK69+1911,"/",3,"/",1)),DATEVALUE(CONCATENATE(AK69+1911,"/",$AA$1000,"/",$AB$1000))),AR69),DATEVALUE(CONCATENATE(AK69+1911,"/2/1")))</f>
        <v>55185</v>
      </c>
      <c r="AT69" s="224" t="e">
        <f t="shared" si="108"/>
        <v>#VALUE!</v>
      </c>
      <c r="AU69" s="224" t="e">
        <f t="shared" si="109"/>
        <v>#VALUE!</v>
      </c>
      <c r="AV69" s="224" t="e">
        <f t="shared" si="89"/>
        <v>#VALUE!</v>
      </c>
      <c r="AW69" s="224" t="e">
        <f t="shared" si="110"/>
        <v>#VALUE!</v>
      </c>
      <c r="AX69" s="224" t="b">
        <f t="shared" si="111"/>
        <v>1</v>
      </c>
      <c r="AY69" s="224" t="e">
        <f t="shared" si="112"/>
        <v>#VALUE!</v>
      </c>
      <c r="AZ69" s="224" t="b">
        <f t="shared" si="113"/>
        <v>1</v>
      </c>
      <c r="BA69" s="224" t="e">
        <f t="shared" si="90"/>
        <v>#VALUE!</v>
      </c>
      <c r="BB69" s="224" t="e">
        <f t="shared" si="91"/>
        <v>#VALUE!</v>
      </c>
      <c r="BC69" s="224" t="e">
        <f t="shared" si="92"/>
        <v>#VALUE!</v>
      </c>
      <c r="BD69" s="225" t="e">
        <f t="shared" si="114"/>
        <v>#VALUE!</v>
      </c>
      <c r="BE69" s="225" t="e">
        <f t="shared" si="115"/>
        <v>#VALUE!</v>
      </c>
      <c r="BF69" s="225" t="e">
        <f t="shared" si="116"/>
        <v>#VALUE!</v>
      </c>
      <c r="BG69" s="226" t="e">
        <f t="shared" si="117"/>
        <v>#VALUE!</v>
      </c>
      <c r="BH69" s="227" t="e">
        <f t="shared" si="118"/>
        <v>#VALUE!</v>
      </c>
    </row>
    <row r="70" spans="1:60" x14ac:dyDescent="0.25">
      <c r="A70" s="216" t="str">
        <f t="shared" si="120"/>
        <v/>
      </c>
      <c r="B70" s="217" t="str">
        <f t="shared" si="121"/>
        <v/>
      </c>
      <c r="C70" s="217" t="str">
        <f t="shared" si="122"/>
        <v/>
      </c>
      <c r="D70" s="217" t="str">
        <f t="shared" si="123"/>
        <v/>
      </c>
      <c r="E70" s="217" t="str">
        <f t="shared" si="124"/>
        <v/>
      </c>
      <c r="F70" s="217" t="str">
        <f t="shared" si="125"/>
        <v/>
      </c>
      <c r="G70" s="217" t="str">
        <f t="shared" si="126"/>
        <v/>
      </c>
      <c r="H70" s="218" t="str">
        <f t="shared" si="127"/>
        <v/>
      </c>
      <c r="I70" s="219" t="str">
        <f t="shared" si="128"/>
        <v/>
      </c>
      <c r="J70" s="219" t="str">
        <f t="shared" si="129"/>
        <v/>
      </c>
      <c r="K70" s="206" t="str">
        <f t="shared" si="130"/>
        <v/>
      </c>
      <c r="L70" s="272" t="str">
        <f t="shared" si="131"/>
        <v/>
      </c>
      <c r="M70" s="216">
        <f>IF(最早可退休日期!$D$2&lt;&gt;"職員",Y72,IF(AND($AS$3&lt;$AS$2,$AS$4&lt;$AS$2),Y72,IF($AS$3&lt;$AS$2,Y71,Y70)))</f>
        <v>141</v>
      </c>
      <c r="N70" s="217" t="str">
        <f>IF(最早可退休日期!$D$2&lt;&gt;"職員",Z72,IF(AND($AS$3&lt;$AS$2,$AS$4&lt;$AS$2),Z72,IF($AS$3&lt;$AS$2,Z71,Z70)))</f>
        <v>無</v>
      </c>
      <c r="O70" s="217">
        <f>IF(最早可退休日期!$D$2&lt;&gt;"職員",AA72,IF(AND($AS$3&lt;$AS$2,$AS$4&lt;$AS$2),AA72,IF($AS$3&lt;$AS$2,AA71,AA70)))</f>
        <v>58</v>
      </c>
      <c r="P70" s="217">
        <f>IF(最早可退休日期!$D$2&lt;&gt;"職員",AB72,IF(AND($AS$3&lt;$AS$2,$AS$4&lt;$AS$2),AB72,IF($AS$3&lt;$AS$2,AB71,AB70)))</f>
        <v>55</v>
      </c>
      <c r="Q70" s="217">
        <f>IF(最早可退休日期!$D$2&lt;&gt;"職員",AC72,IF(AND($AS$3&lt;$AS$2,$AS$4&lt;$AS$2),AC72,IF($AS$3&lt;$AS$2,AC71,AC70)))</f>
        <v>141</v>
      </c>
      <c r="R70" s="217" t="e">
        <f>IF(最早可退休日期!$D$2&lt;&gt;"職員",AD72,IF(AND($AS$3&lt;$AS$2,$AS$4&lt;$AS$2),AD72,IF($AS$3&lt;$AS$2,AD71,AD70)))</f>
        <v>#VALUE!</v>
      </c>
      <c r="S70" s="217" t="e">
        <f>IF(最早可退休日期!$D$2&lt;&gt;"職員",AE72,IF(AND($AS$3&lt;$AS$2,$AS$4&lt;$AS$2),AE72,IF($AS$3&lt;$AS$2,AE71,AE70)))</f>
        <v>#VALUE!</v>
      </c>
      <c r="T70" s="218" t="str">
        <f>IF(最早可退休日期!$D$2&lt;&gt;"職員",AF72,IF(AND($AS$3&lt;$AS$2,$AS$4&lt;$AS$2),AF72,IF($AS$3&lt;$AS$2,AF71,AF70)))</f>
        <v>141年8月1日</v>
      </c>
      <c r="U70" s="219" t="e">
        <f>IF(最早可退休日期!$D$2&lt;&gt;"職員",AG72,IF(AND($AS$3&lt;$AS$2,$AS$4&lt;$AS$2),AG72,IF($AS$3&lt;$AS$2,AG71,AG70)))</f>
        <v>#VALUE!</v>
      </c>
      <c r="V70" s="219" t="e">
        <f>IF(最早可退休日期!$D$2&lt;&gt;"職員",AH72,IF(AND($AS$3&lt;$AS$2,$AS$4&lt;$AS$2),AH72,IF($AS$3&lt;$AS$2,AH71,AH70)))</f>
        <v>#VALUE!</v>
      </c>
      <c r="W70" s="206" t="e">
        <f>IF(最早可退休日期!$D$2&lt;&gt;"職員",AI72,IF(AND($AS$3&lt;$AS$2,$AS$4&lt;$AS$2),AI72,IF($AS$3&lt;$AS$2,AI71,AI70)))</f>
        <v>#VALUE!</v>
      </c>
      <c r="X70" s="207" t="e">
        <f>IF(最早可退休日期!$D$2&lt;&gt;"職員",AJ72,IF(AND($AS$3&lt;$AS$2,$AS$4&lt;$AS$2),AJ72,IF($AS$3&lt;$AS$2,AJ71,AJ70)))</f>
        <v>#VALUE!</v>
      </c>
      <c r="Y70" s="217">
        <f t="shared" si="93"/>
        <v>140</v>
      </c>
      <c r="Z70" s="217" t="str">
        <f t="shared" si="119"/>
        <v>無</v>
      </c>
      <c r="AA70" s="217">
        <f>IF(最早退休日期!$B$1="中等以下教師",58,IF(Y70&gt;=122,65,IF(Y70&lt;107,50,VLOOKUP(Y70,Legal_Year,3,0))))</f>
        <v>58</v>
      </c>
      <c r="AB70" s="217">
        <f t="shared" si="87"/>
        <v>55</v>
      </c>
      <c r="AC70" s="217">
        <f t="shared" si="94"/>
        <v>140</v>
      </c>
      <c r="AD70" s="217" t="e">
        <f t="shared" si="95"/>
        <v>#VALUE!</v>
      </c>
      <c r="AE70" s="217" t="e">
        <f t="shared" si="88"/>
        <v>#VALUE!</v>
      </c>
      <c r="AF70" s="227" t="str">
        <f t="shared" si="96"/>
        <v>140年8月1日</v>
      </c>
      <c r="AG70" s="219" t="e">
        <f t="shared" si="97"/>
        <v>#VALUE!</v>
      </c>
      <c r="AH70" s="219" t="e">
        <f t="shared" si="98"/>
        <v>#VALUE!</v>
      </c>
      <c r="AI70" s="206" t="e">
        <f t="shared" si="99"/>
        <v>#VALUE!</v>
      </c>
      <c r="AJ70" s="207" t="e">
        <f t="shared" si="100"/>
        <v>#VALUE!</v>
      </c>
      <c r="AK70" s="217">
        <f t="shared" si="48"/>
        <v>140</v>
      </c>
      <c r="AL70" s="217" t="e">
        <f t="shared" si="101"/>
        <v>#VALUE!</v>
      </c>
      <c r="AM70" s="220" t="e">
        <f t="shared" si="102"/>
        <v>#VALUE!</v>
      </c>
      <c r="AN70" s="220" t="e">
        <f t="shared" si="103"/>
        <v>#VALUE!</v>
      </c>
      <c r="AO70" s="220" t="e">
        <f t="shared" si="104"/>
        <v>#VALUE!</v>
      </c>
      <c r="AP70" s="221" t="e">
        <f t="shared" si="105"/>
        <v>#VALUE!</v>
      </c>
      <c r="AQ70" s="221" t="e">
        <f t="shared" si="106"/>
        <v>#VALUE!</v>
      </c>
      <c r="AR70" s="222" t="e">
        <f t="shared" si="107"/>
        <v>#VALUE!</v>
      </c>
      <c r="AS70" s="223">
        <f>IF(最早退休日期!$B$2="職員",MAX(IF(ISERROR(DATEVALUE(CONCATENATE(AK70+1911,"/",$AA$1000,"/",$AB$1000))),DATEVALUE(CONCATENATE(AK70+1911,"/",3,"/",1)),DATEVALUE(CONCATENATE(AK70+1911,"/",$AA$1000,"/",$AB$1000))),AR70),DATEVALUE(CONCATENATE(AK70+1911,"/8/1")))</f>
        <v>55366</v>
      </c>
      <c r="AT70" s="224" t="e">
        <f t="shared" si="108"/>
        <v>#VALUE!</v>
      </c>
      <c r="AU70" s="224" t="e">
        <f t="shared" si="109"/>
        <v>#VALUE!</v>
      </c>
      <c r="AV70" s="224" t="e">
        <f t="shared" si="89"/>
        <v>#VALUE!</v>
      </c>
      <c r="AW70" s="224" t="e">
        <f t="shared" si="110"/>
        <v>#VALUE!</v>
      </c>
      <c r="AX70" s="224" t="b">
        <f t="shared" si="111"/>
        <v>1</v>
      </c>
      <c r="AY70" s="224" t="e">
        <f t="shared" si="112"/>
        <v>#VALUE!</v>
      </c>
      <c r="AZ70" s="224" t="b">
        <f t="shared" si="113"/>
        <v>1</v>
      </c>
      <c r="BA70" s="224" t="e">
        <f t="shared" si="90"/>
        <v>#VALUE!</v>
      </c>
      <c r="BB70" s="224" t="e">
        <f t="shared" si="91"/>
        <v>#VALUE!</v>
      </c>
      <c r="BC70" s="224" t="e">
        <f t="shared" si="92"/>
        <v>#VALUE!</v>
      </c>
      <c r="BD70" s="225" t="e">
        <f t="shared" si="114"/>
        <v>#VALUE!</v>
      </c>
      <c r="BE70" s="225" t="e">
        <f t="shared" si="115"/>
        <v>#VALUE!</v>
      </c>
      <c r="BF70" s="225" t="e">
        <f t="shared" si="116"/>
        <v>#VALUE!</v>
      </c>
      <c r="BG70" s="226" t="e">
        <f t="shared" si="117"/>
        <v>#VALUE!</v>
      </c>
      <c r="BH70" s="227" t="e">
        <f t="shared" si="118"/>
        <v>#VALUE!</v>
      </c>
    </row>
    <row r="71" spans="1:60" x14ac:dyDescent="0.25">
      <c r="A71" s="216" t="str">
        <f t="shared" si="120"/>
        <v/>
      </c>
      <c r="B71" s="217" t="str">
        <f t="shared" si="121"/>
        <v/>
      </c>
      <c r="C71" s="217" t="str">
        <f t="shared" si="122"/>
        <v/>
      </c>
      <c r="D71" s="217" t="str">
        <f t="shared" si="123"/>
        <v/>
      </c>
      <c r="E71" s="217" t="str">
        <f t="shared" si="124"/>
        <v/>
      </c>
      <c r="F71" s="217" t="str">
        <f t="shared" si="125"/>
        <v/>
      </c>
      <c r="G71" s="217" t="str">
        <f t="shared" si="126"/>
        <v/>
      </c>
      <c r="H71" s="218" t="str">
        <f t="shared" si="127"/>
        <v/>
      </c>
      <c r="I71" s="219" t="str">
        <f t="shared" si="128"/>
        <v/>
      </c>
      <c r="J71" s="219" t="str">
        <f t="shared" si="129"/>
        <v/>
      </c>
      <c r="K71" s="206" t="str">
        <f t="shared" si="130"/>
        <v/>
      </c>
      <c r="L71" s="272" t="str">
        <f t="shared" si="131"/>
        <v/>
      </c>
      <c r="M71" s="216">
        <f>IF(最早可退休日期!$D$2&lt;&gt;"職員",Y73,IF(AND($AS$3&lt;$AS$2,$AS$4&lt;$AS$2),Y73,IF($AS$3&lt;$AS$2,Y72,Y71)))</f>
        <v>142</v>
      </c>
      <c r="N71" s="217" t="str">
        <f>IF(最早可退休日期!$D$2&lt;&gt;"職員",Z73,IF(AND($AS$3&lt;$AS$2,$AS$4&lt;$AS$2),Z73,IF($AS$3&lt;$AS$2,Z72,Z71)))</f>
        <v>無</v>
      </c>
      <c r="O71" s="217">
        <f>IF(最早可退休日期!$D$2&lt;&gt;"職員",AA73,IF(AND($AS$3&lt;$AS$2,$AS$4&lt;$AS$2),AA73,IF($AS$3&lt;$AS$2,AA72,AA71)))</f>
        <v>58</v>
      </c>
      <c r="P71" s="217">
        <f>IF(最早可退休日期!$D$2&lt;&gt;"職員",AB73,IF(AND($AS$3&lt;$AS$2,$AS$4&lt;$AS$2),AB73,IF($AS$3&lt;$AS$2,AB72,AB71)))</f>
        <v>55</v>
      </c>
      <c r="Q71" s="217">
        <f>IF(最早可退休日期!$D$2&lt;&gt;"職員",AC73,IF(AND($AS$3&lt;$AS$2,$AS$4&lt;$AS$2),AC73,IF($AS$3&lt;$AS$2,AC72,AC71)))</f>
        <v>142</v>
      </c>
      <c r="R71" s="217" t="e">
        <f>IF(最早可退休日期!$D$2&lt;&gt;"職員",AD73,IF(AND($AS$3&lt;$AS$2,$AS$4&lt;$AS$2),AD73,IF($AS$3&lt;$AS$2,AD72,AD71)))</f>
        <v>#VALUE!</v>
      </c>
      <c r="S71" s="217" t="e">
        <f>IF(最早可退休日期!$D$2&lt;&gt;"職員",AE73,IF(AND($AS$3&lt;$AS$2,$AS$4&lt;$AS$2),AE73,IF($AS$3&lt;$AS$2,AE72,AE71)))</f>
        <v>#VALUE!</v>
      </c>
      <c r="T71" s="218" t="str">
        <f>IF(最早可退休日期!$D$2&lt;&gt;"職員",AF73,IF(AND($AS$3&lt;$AS$2,$AS$4&lt;$AS$2),AF73,IF($AS$3&lt;$AS$2,AF72,AF71)))</f>
        <v>142年2月1日</v>
      </c>
      <c r="U71" s="219" t="e">
        <f>IF(最早可退休日期!$D$2&lt;&gt;"職員",AG73,IF(AND($AS$3&lt;$AS$2,$AS$4&lt;$AS$2),AG73,IF($AS$3&lt;$AS$2,AG72,AG71)))</f>
        <v>#VALUE!</v>
      </c>
      <c r="V71" s="219" t="e">
        <f>IF(最早可退休日期!$D$2&lt;&gt;"職員",AH73,IF(AND($AS$3&lt;$AS$2,$AS$4&lt;$AS$2),AH73,IF($AS$3&lt;$AS$2,AH72,AH71)))</f>
        <v>#VALUE!</v>
      </c>
      <c r="W71" s="206" t="e">
        <f>IF(最早可退休日期!$D$2&lt;&gt;"職員",AI73,IF(AND($AS$3&lt;$AS$2,$AS$4&lt;$AS$2),AI73,IF($AS$3&lt;$AS$2,AI72,AI71)))</f>
        <v>#VALUE!</v>
      </c>
      <c r="X71" s="207" t="e">
        <f>IF(最早可退休日期!$D$2&lt;&gt;"職員",AJ73,IF(AND($AS$3&lt;$AS$2,$AS$4&lt;$AS$2),AJ73,IF($AS$3&lt;$AS$2,AJ72,AJ71)))</f>
        <v>#VALUE!</v>
      </c>
      <c r="Y71" s="217">
        <f t="shared" si="93"/>
        <v>141</v>
      </c>
      <c r="Z71" s="217" t="str">
        <f t="shared" si="119"/>
        <v>無</v>
      </c>
      <c r="AA71" s="217">
        <f>IF(最早退休日期!$B$1="中等以下教師",58,IF(Y71&gt;=122,65,IF(Y71&lt;107,50,VLOOKUP(Y71,Legal_Year,3,0))))</f>
        <v>58</v>
      </c>
      <c r="AB71" s="217">
        <f t="shared" si="87"/>
        <v>55</v>
      </c>
      <c r="AC71" s="217">
        <f t="shared" si="94"/>
        <v>141</v>
      </c>
      <c r="AD71" s="217" t="e">
        <f t="shared" si="95"/>
        <v>#VALUE!</v>
      </c>
      <c r="AE71" s="217" t="e">
        <f t="shared" si="88"/>
        <v>#VALUE!</v>
      </c>
      <c r="AF71" s="227" t="str">
        <f t="shared" si="96"/>
        <v>141年2月1日</v>
      </c>
      <c r="AG71" s="219" t="e">
        <f t="shared" si="97"/>
        <v>#VALUE!</v>
      </c>
      <c r="AH71" s="219" t="e">
        <f t="shared" si="98"/>
        <v>#VALUE!</v>
      </c>
      <c r="AI71" s="206" t="e">
        <f t="shared" si="99"/>
        <v>#VALUE!</v>
      </c>
      <c r="AJ71" s="207" t="e">
        <f t="shared" si="100"/>
        <v>#VALUE!</v>
      </c>
      <c r="AK71" s="217">
        <f t="shared" si="48"/>
        <v>141</v>
      </c>
      <c r="AL71" s="217" t="e">
        <f t="shared" si="101"/>
        <v>#VALUE!</v>
      </c>
      <c r="AM71" s="220" t="e">
        <f t="shared" si="102"/>
        <v>#VALUE!</v>
      </c>
      <c r="AN71" s="220" t="e">
        <f t="shared" si="103"/>
        <v>#VALUE!</v>
      </c>
      <c r="AO71" s="220" t="e">
        <f t="shared" si="104"/>
        <v>#VALUE!</v>
      </c>
      <c r="AP71" s="221" t="e">
        <f t="shared" si="105"/>
        <v>#VALUE!</v>
      </c>
      <c r="AQ71" s="221" t="e">
        <f t="shared" si="106"/>
        <v>#VALUE!</v>
      </c>
      <c r="AR71" s="222" t="e">
        <f t="shared" si="107"/>
        <v>#VALUE!</v>
      </c>
      <c r="AS71" s="223">
        <f>IF(最早退休日期!$B$2="職員",MIN(IF(ISERROR(DATEVALUE(CONCATENATE(AK71+1911,"/",$AA$1000,"/",$AB$1000))),DATEVALUE(CONCATENATE(AK71+1911,"/",3,"/",1)),DATEVALUE(CONCATENATE(AK71+1911,"/",$AA$1000,"/",$AB$1000))),AR71),DATEVALUE(CONCATENATE(AK71+1911,"/2/1")))</f>
        <v>55550</v>
      </c>
      <c r="AT71" s="224" t="e">
        <f t="shared" si="108"/>
        <v>#VALUE!</v>
      </c>
      <c r="AU71" s="224" t="e">
        <f t="shared" si="109"/>
        <v>#VALUE!</v>
      </c>
      <c r="AV71" s="224" t="e">
        <f t="shared" si="89"/>
        <v>#VALUE!</v>
      </c>
      <c r="AW71" s="224" t="e">
        <f t="shared" si="110"/>
        <v>#VALUE!</v>
      </c>
      <c r="AX71" s="224" t="b">
        <f t="shared" si="111"/>
        <v>1</v>
      </c>
      <c r="AY71" s="224" t="e">
        <f t="shared" si="112"/>
        <v>#VALUE!</v>
      </c>
      <c r="AZ71" s="224" t="b">
        <f t="shared" si="113"/>
        <v>1</v>
      </c>
      <c r="BA71" s="224" t="e">
        <f t="shared" si="90"/>
        <v>#VALUE!</v>
      </c>
      <c r="BB71" s="224" t="e">
        <f t="shared" si="91"/>
        <v>#VALUE!</v>
      </c>
      <c r="BC71" s="224" t="e">
        <f t="shared" si="92"/>
        <v>#VALUE!</v>
      </c>
      <c r="BD71" s="225" t="e">
        <f t="shared" si="114"/>
        <v>#VALUE!</v>
      </c>
      <c r="BE71" s="225" t="e">
        <f t="shared" si="115"/>
        <v>#VALUE!</v>
      </c>
      <c r="BF71" s="225" t="e">
        <f t="shared" si="116"/>
        <v>#VALUE!</v>
      </c>
      <c r="BG71" s="226" t="e">
        <f t="shared" si="117"/>
        <v>#VALUE!</v>
      </c>
      <c r="BH71" s="227" t="e">
        <f t="shared" si="118"/>
        <v>#VALUE!</v>
      </c>
    </row>
    <row r="72" spans="1:60" x14ac:dyDescent="0.25">
      <c r="A72" s="216" t="str">
        <f t="shared" si="120"/>
        <v/>
      </c>
      <c r="B72" s="217" t="str">
        <f t="shared" si="121"/>
        <v/>
      </c>
      <c r="C72" s="217" t="str">
        <f t="shared" si="122"/>
        <v/>
      </c>
      <c r="D72" s="217" t="str">
        <f t="shared" si="123"/>
        <v/>
      </c>
      <c r="E72" s="217" t="str">
        <f t="shared" si="124"/>
        <v/>
      </c>
      <c r="F72" s="217" t="str">
        <f t="shared" si="125"/>
        <v/>
      </c>
      <c r="G72" s="217" t="str">
        <f t="shared" si="126"/>
        <v/>
      </c>
      <c r="H72" s="218" t="str">
        <f t="shared" si="127"/>
        <v/>
      </c>
      <c r="I72" s="219" t="str">
        <f t="shared" si="128"/>
        <v/>
      </c>
      <c r="J72" s="219" t="str">
        <f t="shared" si="129"/>
        <v/>
      </c>
      <c r="K72" s="206" t="str">
        <f t="shared" si="130"/>
        <v/>
      </c>
      <c r="L72" s="272" t="str">
        <f t="shared" si="131"/>
        <v/>
      </c>
      <c r="M72" s="216">
        <f>IF(最早可退休日期!$D$2&lt;&gt;"職員",Y74,IF(AND($AS$3&lt;$AS$2,$AS$4&lt;$AS$2),Y74,IF($AS$3&lt;$AS$2,Y73,Y72)))</f>
        <v>142</v>
      </c>
      <c r="N72" s="217" t="str">
        <f>IF(最早可退休日期!$D$2&lt;&gt;"職員",Z74,IF(AND($AS$3&lt;$AS$2,$AS$4&lt;$AS$2),Z74,IF($AS$3&lt;$AS$2,Z73,Z72)))</f>
        <v>無</v>
      </c>
      <c r="O72" s="217">
        <f>IF(最早可退休日期!$D$2&lt;&gt;"職員",AA74,IF(AND($AS$3&lt;$AS$2,$AS$4&lt;$AS$2),AA74,IF($AS$3&lt;$AS$2,AA73,AA72)))</f>
        <v>58</v>
      </c>
      <c r="P72" s="217">
        <f>IF(最早可退休日期!$D$2&lt;&gt;"職員",AB74,IF(AND($AS$3&lt;$AS$2,$AS$4&lt;$AS$2),AB74,IF($AS$3&lt;$AS$2,AB73,AB72)))</f>
        <v>55</v>
      </c>
      <c r="Q72" s="217">
        <f>IF(最早可退休日期!$D$2&lt;&gt;"職員",AC74,IF(AND($AS$3&lt;$AS$2,$AS$4&lt;$AS$2),AC74,IF($AS$3&lt;$AS$2,AC73,AC72)))</f>
        <v>142</v>
      </c>
      <c r="R72" s="217" t="e">
        <f>IF(最早可退休日期!$D$2&lt;&gt;"職員",AD74,IF(AND($AS$3&lt;$AS$2,$AS$4&lt;$AS$2),AD74,IF($AS$3&lt;$AS$2,AD73,AD72)))</f>
        <v>#VALUE!</v>
      </c>
      <c r="S72" s="217" t="e">
        <f>IF(最早可退休日期!$D$2&lt;&gt;"職員",AE74,IF(AND($AS$3&lt;$AS$2,$AS$4&lt;$AS$2),AE74,IF($AS$3&lt;$AS$2,AE73,AE72)))</f>
        <v>#VALUE!</v>
      </c>
      <c r="T72" s="218" t="str">
        <f>IF(最早可退休日期!$D$2&lt;&gt;"職員",AF74,IF(AND($AS$3&lt;$AS$2,$AS$4&lt;$AS$2),AF74,IF($AS$3&lt;$AS$2,AF73,AF72)))</f>
        <v>142年8月1日</v>
      </c>
      <c r="U72" s="219" t="e">
        <f>IF(最早可退休日期!$D$2&lt;&gt;"職員",AG74,IF(AND($AS$3&lt;$AS$2,$AS$4&lt;$AS$2),AG74,IF($AS$3&lt;$AS$2,AG73,AG72)))</f>
        <v>#VALUE!</v>
      </c>
      <c r="V72" s="219" t="e">
        <f>IF(最早可退休日期!$D$2&lt;&gt;"職員",AH74,IF(AND($AS$3&lt;$AS$2,$AS$4&lt;$AS$2),AH74,IF($AS$3&lt;$AS$2,AH73,AH72)))</f>
        <v>#VALUE!</v>
      </c>
      <c r="W72" s="206" t="e">
        <f>IF(最早可退休日期!$D$2&lt;&gt;"職員",AI74,IF(AND($AS$3&lt;$AS$2,$AS$4&lt;$AS$2),AI74,IF($AS$3&lt;$AS$2,AI73,AI72)))</f>
        <v>#VALUE!</v>
      </c>
      <c r="X72" s="207" t="e">
        <f>IF(最早可退休日期!$D$2&lt;&gt;"職員",AJ74,IF(AND($AS$3&lt;$AS$2,$AS$4&lt;$AS$2),AJ74,IF($AS$3&lt;$AS$2,AJ73,AJ72)))</f>
        <v>#VALUE!</v>
      </c>
      <c r="Y72" s="217">
        <f t="shared" si="93"/>
        <v>141</v>
      </c>
      <c r="Z72" s="217" t="str">
        <f t="shared" si="119"/>
        <v>無</v>
      </c>
      <c r="AA72" s="217">
        <f>IF(最早退休日期!$B$1="中等以下教師",58,IF(Y72&gt;=122,65,IF(Y72&lt;107,50,VLOOKUP(Y72,Legal_Year,3,0))))</f>
        <v>58</v>
      </c>
      <c r="AB72" s="217">
        <f t="shared" si="87"/>
        <v>55</v>
      </c>
      <c r="AC72" s="217">
        <f t="shared" si="94"/>
        <v>141</v>
      </c>
      <c r="AD72" s="217" t="e">
        <f t="shared" si="95"/>
        <v>#VALUE!</v>
      </c>
      <c r="AE72" s="217" t="e">
        <f t="shared" si="88"/>
        <v>#VALUE!</v>
      </c>
      <c r="AF72" s="227" t="str">
        <f t="shared" si="96"/>
        <v>141年8月1日</v>
      </c>
      <c r="AG72" s="219" t="e">
        <f t="shared" si="97"/>
        <v>#VALUE!</v>
      </c>
      <c r="AH72" s="219" t="e">
        <f t="shared" si="98"/>
        <v>#VALUE!</v>
      </c>
      <c r="AI72" s="206" t="e">
        <f t="shared" si="99"/>
        <v>#VALUE!</v>
      </c>
      <c r="AJ72" s="207" t="e">
        <f t="shared" si="100"/>
        <v>#VALUE!</v>
      </c>
      <c r="AK72" s="217">
        <f t="shared" si="48"/>
        <v>141</v>
      </c>
      <c r="AL72" s="217" t="e">
        <f t="shared" si="101"/>
        <v>#VALUE!</v>
      </c>
      <c r="AM72" s="220" t="e">
        <f t="shared" si="102"/>
        <v>#VALUE!</v>
      </c>
      <c r="AN72" s="220" t="e">
        <f t="shared" si="103"/>
        <v>#VALUE!</v>
      </c>
      <c r="AO72" s="220" t="e">
        <f t="shared" si="104"/>
        <v>#VALUE!</v>
      </c>
      <c r="AP72" s="221" t="e">
        <f t="shared" si="105"/>
        <v>#VALUE!</v>
      </c>
      <c r="AQ72" s="221" t="e">
        <f t="shared" si="106"/>
        <v>#VALUE!</v>
      </c>
      <c r="AR72" s="222" t="e">
        <f t="shared" si="107"/>
        <v>#VALUE!</v>
      </c>
      <c r="AS72" s="223">
        <f>IF(最早退休日期!$B$2="職員",MAX(IF(ISERROR(DATEVALUE(CONCATENATE(AK72+1911,"/",$AA$1000,"/",$AB$1000))),DATEVALUE(CONCATENATE(AK72+1911,"/",3,"/",1)),DATEVALUE(CONCATENATE(AK72+1911,"/",$AA$1000,"/",$AB$1000))),AR72),DATEVALUE(CONCATENATE(AK72+1911,"/8/1")))</f>
        <v>55732</v>
      </c>
      <c r="AT72" s="224" t="e">
        <f t="shared" si="108"/>
        <v>#VALUE!</v>
      </c>
      <c r="AU72" s="224" t="e">
        <f t="shared" si="109"/>
        <v>#VALUE!</v>
      </c>
      <c r="AV72" s="224" t="e">
        <f t="shared" si="89"/>
        <v>#VALUE!</v>
      </c>
      <c r="AW72" s="224" t="e">
        <f t="shared" si="110"/>
        <v>#VALUE!</v>
      </c>
      <c r="AX72" s="224" t="b">
        <f t="shared" si="111"/>
        <v>1</v>
      </c>
      <c r="AY72" s="224" t="e">
        <f t="shared" si="112"/>
        <v>#VALUE!</v>
      </c>
      <c r="AZ72" s="224" t="b">
        <f t="shared" si="113"/>
        <v>1</v>
      </c>
      <c r="BA72" s="224" t="e">
        <f t="shared" si="90"/>
        <v>#VALUE!</v>
      </c>
      <c r="BB72" s="224" t="e">
        <f t="shared" si="91"/>
        <v>#VALUE!</v>
      </c>
      <c r="BC72" s="224" t="e">
        <f t="shared" si="92"/>
        <v>#VALUE!</v>
      </c>
      <c r="BD72" s="225" t="e">
        <f t="shared" si="114"/>
        <v>#VALUE!</v>
      </c>
      <c r="BE72" s="225" t="e">
        <f t="shared" si="115"/>
        <v>#VALUE!</v>
      </c>
      <c r="BF72" s="225" t="e">
        <f t="shared" si="116"/>
        <v>#VALUE!</v>
      </c>
      <c r="BG72" s="226" t="e">
        <f t="shared" si="117"/>
        <v>#VALUE!</v>
      </c>
      <c r="BH72" s="227" t="e">
        <f t="shared" si="118"/>
        <v>#VALUE!</v>
      </c>
    </row>
    <row r="73" spans="1:60" x14ac:dyDescent="0.25">
      <c r="A73" s="216" t="str">
        <f t="shared" si="120"/>
        <v/>
      </c>
      <c r="B73" s="217" t="str">
        <f t="shared" si="121"/>
        <v/>
      </c>
      <c r="C73" s="217" t="str">
        <f t="shared" si="122"/>
        <v/>
      </c>
      <c r="D73" s="217" t="str">
        <f t="shared" si="123"/>
        <v/>
      </c>
      <c r="E73" s="217" t="str">
        <f t="shared" si="124"/>
        <v/>
      </c>
      <c r="F73" s="217" t="str">
        <f t="shared" si="125"/>
        <v/>
      </c>
      <c r="G73" s="217" t="str">
        <f t="shared" si="126"/>
        <v/>
      </c>
      <c r="H73" s="218" t="str">
        <f t="shared" si="127"/>
        <v/>
      </c>
      <c r="I73" s="219" t="str">
        <f t="shared" si="128"/>
        <v/>
      </c>
      <c r="J73" s="219" t="str">
        <f t="shared" si="129"/>
        <v/>
      </c>
      <c r="K73" s="206" t="str">
        <f t="shared" si="130"/>
        <v/>
      </c>
      <c r="L73" s="272" t="str">
        <f t="shared" si="131"/>
        <v/>
      </c>
      <c r="M73" s="216">
        <f>IF(最早可退休日期!$D$2&lt;&gt;"職員",Y75,IF(AND($AS$3&lt;$AS$2,$AS$4&lt;$AS$2),Y75,IF($AS$3&lt;$AS$2,Y74,Y73)))</f>
        <v>143</v>
      </c>
      <c r="N73" s="217" t="str">
        <f>IF(最早可退休日期!$D$2&lt;&gt;"職員",Z75,IF(AND($AS$3&lt;$AS$2,$AS$4&lt;$AS$2),Z75,IF($AS$3&lt;$AS$2,Z74,Z73)))</f>
        <v>無</v>
      </c>
      <c r="O73" s="217">
        <f>IF(最早可退休日期!$D$2&lt;&gt;"職員",AA75,IF(AND($AS$3&lt;$AS$2,$AS$4&lt;$AS$2),AA75,IF($AS$3&lt;$AS$2,AA74,AA73)))</f>
        <v>58</v>
      </c>
      <c r="P73" s="217">
        <f>IF(最早可退休日期!$D$2&lt;&gt;"職員",AB75,IF(AND($AS$3&lt;$AS$2,$AS$4&lt;$AS$2),AB75,IF($AS$3&lt;$AS$2,AB74,AB73)))</f>
        <v>55</v>
      </c>
      <c r="Q73" s="217">
        <f>IF(最早可退休日期!$D$2&lt;&gt;"職員",AC75,IF(AND($AS$3&lt;$AS$2,$AS$4&lt;$AS$2),AC75,IF($AS$3&lt;$AS$2,AC74,AC73)))</f>
        <v>143</v>
      </c>
      <c r="R73" s="217" t="e">
        <f>IF(最早可退休日期!$D$2&lt;&gt;"職員",AD75,IF(AND($AS$3&lt;$AS$2,$AS$4&lt;$AS$2),AD75,IF($AS$3&lt;$AS$2,AD74,AD73)))</f>
        <v>#VALUE!</v>
      </c>
      <c r="S73" s="217" t="e">
        <f>IF(最早可退休日期!$D$2&lt;&gt;"職員",AE75,IF(AND($AS$3&lt;$AS$2,$AS$4&lt;$AS$2),AE75,IF($AS$3&lt;$AS$2,AE74,AE73)))</f>
        <v>#VALUE!</v>
      </c>
      <c r="T73" s="218" t="str">
        <f>IF(最早可退休日期!$D$2&lt;&gt;"職員",AF75,IF(AND($AS$3&lt;$AS$2,$AS$4&lt;$AS$2),AF75,IF($AS$3&lt;$AS$2,AF74,AF73)))</f>
        <v>143年2月1日</v>
      </c>
      <c r="U73" s="219" t="e">
        <f>IF(最早可退休日期!$D$2&lt;&gt;"職員",AG75,IF(AND($AS$3&lt;$AS$2,$AS$4&lt;$AS$2),AG75,IF($AS$3&lt;$AS$2,AG74,AG73)))</f>
        <v>#VALUE!</v>
      </c>
      <c r="V73" s="219" t="e">
        <f>IF(最早可退休日期!$D$2&lt;&gt;"職員",AH75,IF(AND($AS$3&lt;$AS$2,$AS$4&lt;$AS$2),AH75,IF($AS$3&lt;$AS$2,AH74,AH73)))</f>
        <v>#VALUE!</v>
      </c>
      <c r="W73" s="206" t="e">
        <f>IF(最早可退休日期!$D$2&lt;&gt;"職員",AI75,IF(AND($AS$3&lt;$AS$2,$AS$4&lt;$AS$2),AI75,IF($AS$3&lt;$AS$2,AI74,AI73)))</f>
        <v>#VALUE!</v>
      </c>
      <c r="X73" s="207" t="e">
        <f>IF(最早可退休日期!$D$2&lt;&gt;"職員",AJ75,IF(AND($AS$3&lt;$AS$2,$AS$4&lt;$AS$2),AJ75,IF($AS$3&lt;$AS$2,AJ74,AJ73)))</f>
        <v>#VALUE!</v>
      </c>
      <c r="Y73" s="217">
        <f t="shared" si="93"/>
        <v>142</v>
      </c>
      <c r="Z73" s="217" t="str">
        <f t="shared" si="119"/>
        <v>無</v>
      </c>
      <c r="AA73" s="217">
        <f>IF(最早退休日期!$B$1="中等以下教師",58,IF(Y73&gt;=122,65,IF(Y73&lt;107,50,VLOOKUP(Y73,Legal_Year,3,0))))</f>
        <v>58</v>
      </c>
      <c r="AB73" s="217">
        <f t="shared" si="87"/>
        <v>55</v>
      </c>
      <c r="AC73" s="217">
        <f t="shared" si="94"/>
        <v>142</v>
      </c>
      <c r="AD73" s="217" t="e">
        <f t="shared" si="95"/>
        <v>#VALUE!</v>
      </c>
      <c r="AE73" s="217" t="e">
        <f t="shared" si="88"/>
        <v>#VALUE!</v>
      </c>
      <c r="AF73" s="227" t="str">
        <f t="shared" si="96"/>
        <v>142年2月1日</v>
      </c>
      <c r="AG73" s="219" t="e">
        <f t="shared" si="97"/>
        <v>#VALUE!</v>
      </c>
      <c r="AH73" s="219" t="e">
        <f t="shared" si="98"/>
        <v>#VALUE!</v>
      </c>
      <c r="AI73" s="206" t="e">
        <f t="shared" si="99"/>
        <v>#VALUE!</v>
      </c>
      <c r="AJ73" s="207" t="e">
        <f t="shared" si="100"/>
        <v>#VALUE!</v>
      </c>
      <c r="AK73" s="217">
        <f t="shared" ref="AK73:AK84" si="132">AK71+1</f>
        <v>142</v>
      </c>
      <c r="AL73" s="217" t="e">
        <f t="shared" si="101"/>
        <v>#VALUE!</v>
      </c>
      <c r="AM73" s="220" t="e">
        <f t="shared" si="102"/>
        <v>#VALUE!</v>
      </c>
      <c r="AN73" s="220" t="e">
        <f t="shared" si="103"/>
        <v>#VALUE!</v>
      </c>
      <c r="AO73" s="220" t="e">
        <f t="shared" si="104"/>
        <v>#VALUE!</v>
      </c>
      <c r="AP73" s="221" t="e">
        <f t="shared" si="105"/>
        <v>#VALUE!</v>
      </c>
      <c r="AQ73" s="221" t="e">
        <f t="shared" si="106"/>
        <v>#VALUE!</v>
      </c>
      <c r="AR73" s="222" t="e">
        <f t="shared" si="107"/>
        <v>#VALUE!</v>
      </c>
      <c r="AS73" s="223">
        <f>IF(最早退休日期!$B$2="職員",MIN(IF(ISERROR(DATEVALUE(CONCATENATE(AK73+1911,"/",$AA$1000,"/",$AB$1000))),DATEVALUE(CONCATENATE(AK73+1911,"/",3,"/",1)),DATEVALUE(CONCATENATE(AK73+1911,"/",$AA$1000,"/",$AB$1000))),AR73),DATEVALUE(CONCATENATE(AK73+1911,"/2/1")))</f>
        <v>55916</v>
      </c>
      <c r="AT73" s="224" t="e">
        <f t="shared" si="108"/>
        <v>#VALUE!</v>
      </c>
      <c r="AU73" s="224" t="e">
        <f t="shared" si="109"/>
        <v>#VALUE!</v>
      </c>
      <c r="AV73" s="224" t="e">
        <f t="shared" si="89"/>
        <v>#VALUE!</v>
      </c>
      <c r="AW73" s="224" t="e">
        <f t="shared" si="110"/>
        <v>#VALUE!</v>
      </c>
      <c r="AX73" s="224" t="b">
        <f t="shared" si="111"/>
        <v>1</v>
      </c>
      <c r="AY73" s="224" t="e">
        <f t="shared" si="112"/>
        <v>#VALUE!</v>
      </c>
      <c r="AZ73" s="224" t="b">
        <f t="shared" si="113"/>
        <v>1</v>
      </c>
      <c r="BA73" s="224" t="e">
        <f t="shared" si="90"/>
        <v>#VALUE!</v>
      </c>
      <c r="BB73" s="224" t="e">
        <f t="shared" si="91"/>
        <v>#VALUE!</v>
      </c>
      <c r="BC73" s="224" t="e">
        <f t="shared" si="92"/>
        <v>#VALUE!</v>
      </c>
      <c r="BD73" s="225" t="e">
        <f t="shared" si="114"/>
        <v>#VALUE!</v>
      </c>
      <c r="BE73" s="225" t="e">
        <f t="shared" si="115"/>
        <v>#VALUE!</v>
      </c>
      <c r="BF73" s="225" t="e">
        <f t="shared" si="116"/>
        <v>#VALUE!</v>
      </c>
      <c r="BG73" s="226" t="e">
        <f t="shared" si="117"/>
        <v>#VALUE!</v>
      </c>
      <c r="BH73" s="227" t="e">
        <f t="shared" si="118"/>
        <v>#VALUE!</v>
      </c>
    </row>
    <row r="74" spans="1:60" x14ac:dyDescent="0.25">
      <c r="A74" s="216" t="str">
        <f t="shared" si="120"/>
        <v/>
      </c>
      <c r="B74" s="217" t="str">
        <f t="shared" si="121"/>
        <v/>
      </c>
      <c r="C74" s="217" t="str">
        <f t="shared" si="122"/>
        <v/>
      </c>
      <c r="D74" s="217" t="str">
        <f t="shared" si="123"/>
        <v/>
      </c>
      <c r="E74" s="217" t="str">
        <f t="shared" si="124"/>
        <v/>
      </c>
      <c r="F74" s="217" t="str">
        <f t="shared" si="125"/>
        <v/>
      </c>
      <c r="G74" s="217" t="str">
        <f t="shared" si="126"/>
        <v/>
      </c>
      <c r="H74" s="218" t="str">
        <f t="shared" si="127"/>
        <v/>
      </c>
      <c r="I74" s="219" t="str">
        <f t="shared" si="128"/>
        <v/>
      </c>
      <c r="J74" s="219" t="str">
        <f t="shared" si="129"/>
        <v/>
      </c>
      <c r="K74" s="206" t="str">
        <f t="shared" si="130"/>
        <v/>
      </c>
      <c r="L74" s="272" t="str">
        <f t="shared" si="131"/>
        <v/>
      </c>
      <c r="M74" s="216">
        <f>IF(最早可退休日期!$D$2&lt;&gt;"職員",Y76,IF(AND($AS$3&lt;$AS$2,$AS$4&lt;$AS$2),Y76,IF($AS$3&lt;$AS$2,Y75,Y74)))</f>
        <v>143</v>
      </c>
      <c r="N74" s="217" t="str">
        <f>IF(最早可退休日期!$D$2&lt;&gt;"職員",Z76,IF(AND($AS$3&lt;$AS$2,$AS$4&lt;$AS$2),Z76,IF($AS$3&lt;$AS$2,Z75,Z74)))</f>
        <v>無</v>
      </c>
      <c r="O74" s="217">
        <f>IF(最早可退休日期!$D$2&lt;&gt;"職員",AA76,IF(AND($AS$3&lt;$AS$2,$AS$4&lt;$AS$2),AA76,IF($AS$3&lt;$AS$2,AA75,AA74)))</f>
        <v>58</v>
      </c>
      <c r="P74" s="217">
        <f>IF(最早可退休日期!$D$2&lt;&gt;"職員",AB76,IF(AND($AS$3&lt;$AS$2,$AS$4&lt;$AS$2),AB76,IF($AS$3&lt;$AS$2,AB75,AB74)))</f>
        <v>55</v>
      </c>
      <c r="Q74" s="217">
        <f>IF(最早可退休日期!$D$2&lt;&gt;"職員",AC76,IF(AND($AS$3&lt;$AS$2,$AS$4&lt;$AS$2),AC76,IF($AS$3&lt;$AS$2,AC75,AC74)))</f>
        <v>143</v>
      </c>
      <c r="R74" s="217" t="e">
        <f>IF(最早可退休日期!$D$2&lt;&gt;"職員",AD76,IF(AND($AS$3&lt;$AS$2,$AS$4&lt;$AS$2),AD76,IF($AS$3&lt;$AS$2,AD75,AD74)))</f>
        <v>#VALUE!</v>
      </c>
      <c r="S74" s="217" t="e">
        <f>IF(最早可退休日期!$D$2&lt;&gt;"職員",AE76,IF(AND($AS$3&lt;$AS$2,$AS$4&lt;$AS$2),AE76,IF($AS$3&lt;$AS$2,AE75,AE74)))</f>
        <v>#VALUE!</v>
      </c>
      <c r="T74" s="218" t="str">
        <f>IF(最早可退休日期!$D$2&lt;&gt;"職員",AF76,IF(AND($AS$3&lt;$AS$2,$AS$4&lt;$AS$2),AF76,IF($AS$3&lt;$AS$2,AF75,AF74)))</f>
        <v>143年8月1日</v>
      </c>
      <c r="U74" s="219" t="e">
        <f>IF(最早可退休日期!$D$2&lt;&gt;"職員",AG76,IF(AND($AS$3&lt;$AS$2,$AS$4&lt;$AS$2),AG76,IF($AS$3&lt;$AS$2,AG75,AG74)))</f>
        <v>#VALUE!</v>
      </c>
      <c r="V74" s="219" t="e">
        <f>IF(最早可退休日期!$D$2&lt;&gt;"職員",AH76,IF(AND($AS$3&lt;$AS$2,$AS$4&lt;$AS$2),AH76,IF($AS$3&lt;$AS$2,AH75,AH74)))</f>
        <v>#VALUE!</v>
      </c>
      <c r="W74" s="206" t="e">
        <f>IF(最早可退休日期!$D$2&lt;&gt;"職員",AI76,IF(AND($AS$3&lt;$AS$2,$AS$4&lt;$AS$2),AI76,IF($AS$3&lt;$AS$2,AI75,AI74)))</f>
        <v>#VALUE!</v>
      </c>
      <c r="X74" s="207" t="e">
        <f>IF(最早可退休日期!$D$2&lt;&gt;"職員",AJ76,IF(AND($AS$3&lt;$AS$2,$AS$4&lt;$AS$2),AJ76,IF($AS$3&lt;$AS$2,AJ75,AJ74)))</f>
        <v>#VALUE!</v>
      </c>
      <c r="Y74" s="217">
        <f t="shared" si="93"/>
        <v>142</v>
      </c>
      <c r="Z74" s="217" t="str">
        <f t="shared" si="119"/>
        <v>無</v>
      </c>
      <c r="AA74" s="217">
        <f>IF(最早退休日期!$B$1="中等以下教師",58,IF(Y74&gt;=122,65,IF(Y74&lt;107,50,VLOOKUP(Y74,Legal_Year,3,0))))</f>
        <v>58</v>
      </c>
      <c r="AB74" s="217">
        <f t="shared" si="87"/>
        <v>55</v>
      </c>
      <c r="AC74" s="217">
        <f t="shared" si="94"/>
        <v>142</v>
      </c>
      <c r="AD74" s="217" t="e">
        <f t="shared" si="95"/>
        <v>#VALUE!</v>
      </c>
      <c r="AE74" s="217" t="e">
        <f t="shared" si="88"/>
        <v>#VALUE!</v>
      </c>
      <c r="AF74" s="227" t="str">
        <f t="shared" si="96"/>
        <v>142年8月1日</v>
      </c>
      <c r="AG74" s="219" t="e">
        <f t="shared" si="97"/>
        <v>#VALUE!</v>
      </c>
      <c r="AH74" s="219" t="e">
        <f t="shared" si="98"/>
        <v>#VALUE!</v>
      </c>
      <c r="AI74" s="206" t="e">
        <f t="shared" si="99"/>
        <v>#VALUE!</v>
      </c>
      <c r="AJ74" s="207" t="e">
        <f t="shared" si="100"/>
        <v>#VALUE!</v>
      </c>
      <c r="AK74" s="217">
        <f t="shared" si="132"/>
        <v>142</v>
      </c>
      <c r="AL74" s="217" t="e">
        <f t="shared" si="101"/>
        <v>#VALUE!</v>
      </c>
      <c r="AM74" s="220" t="e">
        <f t="shared" si="102"/>
        <v>#VALUE!</v>
      </c>
      <c r="AN74" s="220" t="e">
        <f t="shared" si="103"/>
        <v>#VALUE!</v>
      </c>
      <c r="AO74" s="220" t="e">
        <f t="shared" si="104"/>
        <v>#VALUE!</v>
      </c>
      <c r="AP74" s="221" t="e">
        <f t="shared" si="105"/>
        <v>#VALUE!</v>
      </c>
      <c r="AQ74" s="221" t="e">
        <f t="shared" si="106"/>
        <v>#VALUE!</v>
      </c>
      <c r="AR74" s="222" t="e">
        <f t="shared" si="107"/>
        <v>#VALUE!</v>
      </c>
      <c r="AS74" s="223">
        <f>IF(最早退休日期!$B$2="職員",MAX(IF(ISERROR(DATEVALUE(CONCATENATE(AK74+1911,"/",$AA$1000,"/",$AB$1000))),DATEVALUE(CONCATENATE(AK74+1911,"/",3,"/",1)),DATEVALUE(CONCATENATE(AK74+1911,"/",$AA$1000,"/",$AB$1000))),AR74),DATEVALUE(CONCATENATE(AK74+1911,"/8/1")))</f>
        <v>56097</v>
      </c>
      <c r="AT74" s="224" t="e">
        <f t="shared" si="108"/>
        <v>#VALUE!</v>
      </c>
      <c r="AU74" s="224" t="e">
        <f t="shared" si="109"/>
        <v>#VALUE!</v>
      </c>
      <c r="AV74" s="224" t="e">
        <f t="shared" si="89"/>
        <v>#VALUE!</v>
      </c>
      <c r="AW74" s="224" t="e">
        <f t="shared" si="110"/>
        <v>#VALUE!</v>
      </c>
      <c r="AX74" s="224" t="b">
        <f t="shared" si="111"/>
        <v>1</v>
      </c>
      <c r="AY74" s="224" t="e">
        <f t="shared" si="112"/>
        <v>#VALUE!</v>
      </c>
      <c r="AZ74" s="224" t="b">
        <f t="shared" si="113"/>
        <v>1</v>
      </c>
      <c r="BA74" s="224" t="e">
        <f t="shared" si="90"/>
        <v>#VALUE!</v>
      </c>
      <c r="BB74" s="224" t="e">
        <f t="shared" si="91"/>
        <v>#VALUE!</v>
      </c>
      <c r="BC74" s="224" t="e">
        <f t="shared" si="92"/>
        <v>#VALUE!</v>
      </c>
      <c r="BD74" s="225" t="e">
        <f t="shared" si="114"/>
        <v>#VALUE!</v>
      </c>
      <c r="BE74" s="225" t="e">
        <f t="shared" si="115"/>
        <v>#VALUE!</v>
      </c>
      <c r="BF74" s="225" t="e">
        <f t="shared" si="116"/>
        <v>#VALUE!</v>
      </c>
      <c r="BG74" s="226" t="e">
        <f t="shared" si="117"/>
        <v>#VALUE!</v>
      </c>
      <c r="BH74" s="227" t="e">
        <f t="shared" si="118"/>
        <v>#VALUE!</v>
      </c>
    </row>
    <row r="75" spans="1:60" x14ac:dyDescent="0.25">
      <c r="A75" s="216" t="str">
        <f t="shared" si="120"/>
        <v/>
      </c>
      <c r="B75" s="217" t="str">
        <f t="shared" si="121"/>
        <v/>
      </c>
      <c r="C75" s="217" t="str">
        <f t="shared" si="122"/>
        <v/>
      </c>
      <c r="D75" s="217" t="str">
        <f t="shared" si="123"/>
        <v/>
      </c>
      <c r="E75" s="217" t="str">
        <f t="shared" si="124"/>
        <v/>
      </c>
      <c r="F75" s="217" t="str">
        <f t="shared" si="125"/>
        <v/>
      </c>
      <c r="G75" s="217" t="str">
        <f t="shared" si="126"/>
        <v/>
      </c>
      <c r="H75" s="218" t="str">
        <f t="shared" si="127"/>
        <v/>
      </c>
      <c r="I75" s="219" t="str">
        <f t="shared" si="128"/>
        <v/>
      </c>
      <c r="J75" s="219" t="str">
        <f t="shared" si="129"/>
        <v/>
      </c>
      <c r="K75" s="206" t="str">
        <f t="shared" si="130"/>
        <v/>
      </c>
      <c r="L75" s="272" t="str">
        <f t="shared" si="131"/>
        <v/>
      </c>
      <c r="M75" s="216">
        <f>IF(最早可退休日期!$D$2&lt;&gt;"職員",Y77,IF(AND($AS$3&lt;$AS$2,$AS$4&lt;$AS$2),Y77,IF($AS$3&lt;$AS$2,Y76,Y75)))</f>
        <v>144</v>
      </c>
      <c r="N75" s="217" t="str">
        <f>IF(最早可退休日期!$D$2&lt;&gt;"職員",Z77,IF(AND($AS$3&lt;$AS$2,$AS$4&lt;$AS$2),Z77,IF($AS$3&lt;$AS$2,Z76,Z75)))</f>
        <v>無</v>
      </c>
      <c r="O75" s="217">
        <f>IF(最早可退休日期!$D$2&lt;&gt;"職員",AA77,IF(AND($AS$3&lt;$AS$2,$AS$4&lt;$AS$2),AA77,IF($AS$3&lt;$AS$2,AA76,AA75)))</f>
        <v>58</v>
      </c>
      <c r="P75" s="217">
        <f>IF(最早可退休日期!$D$2&lt;&gt;"職員",AB77,IF(AND($AS$3&lt;$AS$2,$AS$4&lt;$AS$2),AB77,IF($AS$3&lt;$AS$2,AB76,AB75)))</f>
        <v>55</v>
      </c>
      <c r="Q75" s="217">
        <f>IF(最早可退休日期!$D$2&lt;&gt;"職員",AC77,IF(AND($AS$3&lt;$AS$2,$AS$4&lt;$AS$2),AC77,IF($AS$3&lt;$AS$2,AC76,AC75)))</f>
        <v>144</v>
      </c>
      <c r="R75" s="217" t="e">
        <f>IF(最早可退休日期!$D$2&lt;&gt;"職員",AD77,IF(AND($AS$3&lt;$AS$2,$AS$4&lt;$AS$2),AD77,IF($AS$3&lt;$AS$2,AD76,AD75)))</f>
        <v>#VALUE!</v>
      </c>
      <c r="S75" s="217" t="e">
        <f>IF(最早可退休日期!$D$2&lt;&gt;"職員",AE77,IF(AND($AS$3&lt;$AS$2,$AS$4&lt;$AS$2),AE77,IF($AS$3&lt;$AS$2,AE76,AE75)))</f>
        <v>#VALUE!</v>
      </c>
      <c r="T75" s="218" t="str">
        <f>IF(最早可退休日期!$D$2&lt;&gt;"職員",AF77,IF(AND($AS$3&lt;$AS$2,$AS$4&lt;$AS$2),AF77,IF($AS$3&lt;$AS$2,AF76,AF75)))</f>
        <v>144年2月1日</v>
      </c>
      <c r="U75" s="219" t="e">
        <f>IF(最早可退休日期!$D$2&lt;&gt;"職員",AG77,IF(AND($AS$3&lt;$AS$2,$AS$4&lt;$AS$2),AG77,IF($AS$3&lt;$AS$2,AG76,AG75)))</f>
        <v>#VALUE!</v>
      </c>
      <c r="V75" s="219" t="e">
        <f>IF(最早可退休日期!$D$2&lt;&gt;"職員",AH77,IF(AND($AS$3&lt;$AS$2,$AS$4&lt;$AS$2),AH77,IF($AS$3&lt;$AS$2,AH76,AH75)))</f>
        <v>#VALUE!</v>
      </c>
      <c r="W75" s="206" t="e">
        <f>IF(最早可退休日期!$D$2&lt;&gt;"職員",AI77,IF(AND($AS$3&lt;$AS$2,$AS$4&lt;$AS$2),AI77,IF($AS$3&lt;$AS$2,AI76,AI75)))</f>
        <v>#VALUE!</v>
      </c>
      <c r="X75" s="207" t="e">
        <f>IF(最早可退休日期!$D$2&lt;&gt;"職員",AJ77,IF(AND($AS$3&lt;$AS$2,$AS$4&lt;$AS$2),AJ77,IF($AS$3&lt;$AS$2,AJ76,AJ75)))</f>
        <v>#VALUE!</v>
      </c>
      <c r="Y75" s="217">
        <f t="shared" si="93"/>
        <v>143</v>
      </c>
      <c r="Z75" s="217" t="str">
        <f t="shared" si="119"/>
        <v>無</v>
      </c>
      <c r="AA75" s="217">
        <f>IF(最早退休日期!$B$1="中等以下教師",58,IF(Y75&gt;=122,65,IF(Y75&lt;107,50,VLOOKUP(Y75,Legal_Year,3,0))))</f>
        <v>58</v>
      </c>
      <c r="AB75" s="217">
        <f t="shared" si="87"/>
        <v>55</v>
      </c>
      <c r="AC75" s="217">
        <f t="shared" si="94"/>
        <v>143</v>
      </c>
      <c r="AD75" s="217" t="e">
        <f t="shared" si="95"/>
        <v>#VALUE!</v>
      </c>
      <c r="AE75" s="217" t="e">
        <f t="shared" si="88"/>
        <v>#VALUE!</v>
      </c>
      <c r="AF75" s="227" t="str">
        <f t="shared" si="96"/>
        <v>143年2月1日</v>
      </c>
      <c r="AG75" s="219" t="e">
        <f t="shared" si="97"/>
        <v>#VALUE!</v>
      </c>
      <c r="AH75" s="219" t="e">
        <f t="shared" si="98"/>
        <v>#VALUE!</v>
      </c>
      <c r="AI75" s="206" t="e">
        <f t="shared" si="99"/>
        <v>#VALUE!</v>
      </c>
      <c r="AJ75" s="207" t="e">
        <f t="shared" si="100"/>
        <v>#VALUE!</v>
      </c>
      <c r="AK75" s="217">
        <f t="shared" si="132"/>
        <v>143</v>
      </c>
      <c r="AL75" s="217" t="e">
        <f t="shared" si="101"/>
        <v>#VALUE!</v>
      </c>
      <c r="AM75" s="220" t="e">
        <f t="shared" si="102"/>
        <v>#VALUE!</v>
      </c>
      <c r="AN75" s="220" t="e">
        <f t="shared" si="103"/>
        <v>#VALUE!</v>
      </c>
      <c r="AO75" s="220" t="e">
        <f t="shared" si="104"/>
        <v>#VALUE!</v>
      </c>
      <c r="AP75" s="221" t="e">
        <f t="shared" si="105"/>
        <v>#VALUE!</v>
      </c>
      <c r="AQ75" s="221" t="e">
        <f t="shared" si="106"/>
        <v>#VALUE!</v>
      </c>
      <c r="AR75" s="222" t="e">
        <f t="shared" si="107"/>
        <v>#VALUE!</v>
      </c>
      <c r="AS75" s="223">
        <f>IF(最早退休日期!$B$2="職員",MIN(IF(ISERROR(DATEVALUE(CONCATENATE(AK75+1911,"/",$AA$1000,"/",$AB$1000))),DATEVALUE(CONCATENATE(AK75+1911,"/",3,"/",1)),DATEVALUE(CONCATENATE(AK75+1911,"/",$AA$1000,"/",$AB$1000))),AR75),DATEVALUE(CONCATENATE(AK75+1911,"/2/1")))</f>
        <v>56281</v>
      </c>
      <c r="AT75" s="224" t="e">
        <f t="shared" si="108"/>
        <v>#VALUE!</v>
      </c>
      <c r="AU75" s="224" t="e">
        <f t="shared" si="109"/>
        <v>#VALUE!</v>
      </c>
      <c r="AV75" s="224" t="e">
        <f t="shared" si="89"/>
        <v>#VALUE!</v>
      </c>
      <c r="AW75" s="224" t="e">
        <f t="shared" si="110"/>
        <v>#VALUE!</v>
      </c>
      <c r="AX75" s="224" t="b">
        <f t="shared" si="111"/>
        <v>1</v>
      </c>
      <c r="AY75" s="224" t="e">
        <f t="shared" si="112"/>
        <v>#VALUE!</v>
      </c>
      <c r="AZ75" s="224" t="b">
        <f t="shared" si="113"/>
        <v>1</v>
      </c>
      <c r="BA75" s="224" t="e">
        <f t="shared" si="90"/>
        <v>#VALUE!</v>
      </c>
      <c r="BB75" s="224" t="e">
        <f t="shared" si="91"/>
        <v>#VALUE!</v>
      </c>
      <c r="BC75" s="224" t="e">
        <f t="shared" si="92"/>
        <v>#VALUE!</v>
      </c>
      <c r="BD75" s="225" t="e">
        <f t="shared" si="114"/>
        <v>#VALUE!</v>
      </c>
      <c r="BE75" s="225" t="e">
        <f t="shared" si="115"/>
        <v>#VALUE!</v>
      </c>
      <c r="BF75" s="225" t="e">
        <f t="shared" si="116"/>
        <v>#VALUE!</v>
      </c>
      <c r="BG75" s="226" t="e">
        <f t="shared" si="117"/>
        <v>#VALUE!</v>
      </c>
      <c r="BH75" s="227" t="e">
        <f t="shared" si="118"/>
        <v>#VALUE!</v>
      </c>
    </row>
    <row r="76" spans="1:60" x14ac:dyDescent="0.25">
      <c r="A76" s="216" t="str">
        <f t="shared" si="120"/>
        <v/>
      </c>
      <c r="B76" s="217" t="str">
        <f t="shared" si="121"/>
        <v/>
      </c>
      <c r="C76" s="217" t="str">
        <f t="shared" si="122"/>
        <v/>
      </c>
      <c r="D76" s="217" t="str">
        <f t="shared" si="123"/>
        <v/>
      </c>
      <c r="E76" s="217" t="str">
        <f t="shared" si="124"/>
        <v/>
      </c>
      <c r="F76" s="217" t="str">
        <f t="shared" si="125"/>
        <v/>
      </c>
      <c r="G76" s="217" t="str">
        <f t="shared" si="126"/>
        <v/>
      </c>
      <c r="H76" s="218" t="str">
        <f t="shared" si="127"/>
        <v/>
      </c>
      <c r="I76" s="219" t="str">
        <f t="shared" si="128"/>
        <v/>
      </c>
      <c r="J76" s="219" t="str">
        <f t="shared" si="129"/>
        <v/>
      </c>
      <c r="K76" s="206" t="str">
        <f t="shared" si="130"/>
        <v/>
      </c>
      <c r="L76" s="272" t="str">
        <f t="shared" si="131"/>
        <v/>
      </c>
      <c r="M76" s="216">
        <f>IF(最早可退休日期!$D$2&lt;&gt;"職員",Y78,IF(AND($AS$3&lt;$AS$2,$AS$4&lt;$AS$2),Y78,IF($AS$3&lt;$AS$2,Y77,Y76)))</f>
        <v>144</v>
      </c>
      <c r="N76" s="217" t="str">
        <f>IF(最早可退休日期!$D$2&lt;&gt;"職員",Z78,IF(AND($AS$3&lt;$AS$2,$AS$4&lt;$AS$2),Z78,IF($AS$3&lt;$AS$2,Z77,Z76)))</f>
        <v>無</v>
      </c>
      <c r="O76" s="217">
        <f>IF(最早可退休日期!$D$2&lt;&gt;"職員",AA78,IF(AND($AS$3&lt;$AS$2,$AS$4&lt;$AS$2),AA78,IF($AS$3&lt;$AS$2,AA77,AA76)))</f>
        <v>58</v>
      </c>
      <c r="P76" s="217">
        <f>IF(最早可退休日期!$D$2&lt;&gt;"職員",AB78,IF(AND($AS$3&lt;$AS$2,$AS$4&lt;$AS$2),AB78,IF($AS$3&lt;$AS$2,AB77,AB76)))</f>
        <v>55</v>
      </c>
      <c r="Q76" s="217">
        <f>IF(最早可退休日期!$D$2&lt;&gt;"職員",AC78,IF(AND($AS$3&lt;$AS$2,$AS$4&lt;$AS$2),AC78,IF($AS$3&lt;$AS$2,AC77,AC76)))</f>
        <v>144</v>
      </c>
      <c r="R76" s="217" t="e">
        <f>IF(最早可退休日期!$D$2&lt;&gt;"職員",AD78,IF(AND($AS$3&lt;$AS$2,$AS$4&lt;$AS$2),AD78,IF($AS$3&lt;$AS$2,AD77,AD76)))</f>
        <v>#VALUE!</v>
      </c>
      <c r="S76" s="217" t="e">
        <f>IF(最早可退休日期!$D$2&lt;&gt;"職員",AE78,IF(AND($AS$3&lt;$AS$2,$AS$4&lt;$AS$2),AE78,IF($AS$3&lt;$AS$2,AE77,AE76)))</f>
        <v>#VALUE!</v>
      </c>
      <c r="T76" s="218" t="str">
        <f>IF(最早可退休日期!$D$2&lt;&gt;"職員",AF78,IF(AND($AS$3&lt;$AS$2,$AS$4&lt;$AS$2),AF78,IF($AS$3&lt;$AS$2,AF77,AF76)))</f>
        <v>144年8月1日</v>
      </c>
      <c r="U76" s="219" t="e">
        <f>IF(最早可退休日期!$D$2&lt;&gt;"職員",AG78,IF(AND($AS$3&lt;$AS$2,$AS$4&lt;$AS$2),AG78,IF($AS$3&lt;$AS$2,AG77,AG76)))</f>
        <v>#VALUE!</v>
      </c>
      <c r="V76" s="219" t="e">
        <f>IF(最早可退休日期!$D$2&lt;&gt;"職員",AH78,IF(AND($AS$3&lt;$AS$2,$AS$4&lt;$AS$2),AH78,IF($AS$3&lt;$AS$2,AH77,AH76)))</f>
        <v>#VALUE!</v>
      </c>
      <c r="W76" s="206" t="e">
        <f>IF(最早可退休日期!$D$2&lt;&gt;"職員",AI78,IF(AND($AS$3&lt;$AS$2,$AS$4&lt;$AS$2),AI78,IF($AS$3&lt;$AS$2,AI77,AI76)))</f>
        <v>#VALUE!</v>
      </c>
      <c r="X76" s="207" t="e">
        <f>IF(最早可退休日期!$D$2&lt;&gt;"職員",AJ78,IF(AND($AS$3&lt;$AS$2,$AS$4&lt;$AS$2),AJ78,IF($AS$3&lt;$AS$2,AJ77,AJ76)))</f>
        <v>#VALUE!</v>
      </c>
      <c r="Y76" s="217">
        <f t="shared" si="93"/>
        <v>143</v>
      </c>
      <c r="Z76" s="217" t="str">
        <f t="shared" si="119"/>
        <v>無</v>
      </c>
      <c r="AA76" s="217">
        <f>IF(最早退休日期!$B$1="中等以下教師",58,IF(Y76&gt;=122,65,IF(Y76&lt;107,50,VLOOKUP(Y76,Legal_Year,3,0))))</f>
        <v>58</v>
      </c>
      <c r="AB76" s="217">
        <f t="shared" si="87"/>
        <v>55</v>
      </c>
      <c r="AC76" s="217">
        <f t="shared" si="94"/>
        <v>143</v>
      </c>
      <c r="AD76" s="217" t="e">
        <f t="shared" si="95"/>
        <v>#VALUE!</v>
      </c>
      <c r="AE76" s="217" t="e">
        <f t="shared" si="88"/>
        <v>#VALUE!</v>
      </c>
      <c r="AF76" s="227" t="str">
        <f t="shared" si="96"/>
        <v>143年8月1日</v>
      </c>
      <c r="AG76" s="219" t="e">
        <f t="shared" si="97"/>
        <v>#VALUE!</v>
      </c>
      <c r="AH76" s="219" t="e">
        <f t="shared" si="98"/>
        <v>#VALUE!</v>
      </c>
      <c r="AI76" s="206" t="e">
        <f t="shared" si="99"/>
        <v>#VALUE!</v>
      </c>
      <c r="AJ76" s="207" t="e">
        <f t="shared" si="100"/>
        <v>#VALUE!</v>
      </c>
      <c r="AK76" s="217">
        <f t="shared" si="132"/>
        <v>143</v>
      </c>
      <c r="AL76" s="217" t="e">
        <f t="shared" si="101"/>
        <v>#VALUE!</v>
      </c>
      <c r="AM76" s="220" t="e">
        <f t="shared" si="102"/>
        <v>#VALUE!</v>
      </c>
      <c r="AN76" s="220" t="e">
        <f t="shared" si="103"/>
        <v>#VALUE!</v>
      </c>
      <c r="AO76" s="220" t="e">
        <f t="shared" si="104"/>
        <v>#VALUE!</v>
      </c>
      <c r="AP76" s="221" t="e">
        <f t="shared" si="105"/>
        <v>#VALUE!</v>
      </c>
      <c r="AQ76" s="221" t="e">
        <f t="shared" si="106"/>
        <v>#VALUE!</v>
      </c>
      <c r="AR76" s="222" t="e">
        <f t="shared" si="107"/>
        <v>#VALUE!</v>
      </c>
      <c r="AS76" s="223">
        <f>IF(最早退休日期!$B$2="職員",MAX(IF(ISERROR(DATEVALUE(CONCATENATE(AK76+1911,"/",$AA$1000,"/",$AB$1000))),DATEVALUE(CONCATENATE(AK76+1911,"/",3,"/",1)),DATEVALUE(CONCATENATE(AK76+1911,"/",$AA$1000,"/",$AB$1000))),AR76),DATEVALUE(CONCATENATE(AK76+1911,"/8/1")))</f>
        <v>56462</v>
      </c>
      <c r="AT76" s="224" t="e">
        <f t="shared" si="108"/>
        <v>#VALUE!</v>
      </c>
      <c r="AU76" s="224" t="e">
        <f t="shared" si="109"/>
        <v>#VALUE!</v>
      </c>
      <c r="AV76" s="224" t="e">
        <f t="shared" si="89"/>
        <v>#VALUE!</v>
      </c>
      <c r="AW76" s="224" t="e">
        <f t="shared" si="110"/>
        <v>#VALUE!</v>
      </c>
      <c r="AX76" s="224" t="b">
        <f t="shared" si="111"/>
        <v>1</v>
      </c>
      <c r="AY76" s="224" t="e">
        <f t="shared" si="112"/>
        <v>#VALUE!</v>
      </c>
      <c r="AZ76" s="224" t="b">
        <f t="shared" si="113"/>
        <v>1</v>
      </c>
      <c r="BA76" s="224" t="e">
        <f t="shared" si="90"/>
        <v>#VALUE!</v>
      </c>
      <c r="BB76" s="224" t="e">
        <f t="shared" si="91"/>
        <v>#VALUE!</v>
      </c>
      <c r="BC76" s="224" t="e">
        <f t="shared" si="92"/>
        <v>#VALUE!</v>
      </c>
      <c r="BD76" s="225" t="e">
        <f t="shared" si="114"/>
        <v>#VALUE!</v>
      </c>
      <c r="BE76" s="225" t="e">
        <f t="shared" si="115"/>
        <v>#VALUE!</v>
      </c>
      <c r="BF76" s="225" t="e">
        <f t="shared" si="116"/>
        <v>#VALUE!</v>
      </c>
      <c r="BG76" s="226" t="e">
        <f t="shared" si="117"/>
        <v>#VALUE!</v>
      </c>
      <c r="BH76" s="227" t="e">
        <f t="shared" si="118"/>
        <v>#VALUE!</v>
      </c>
    </row>
    <row r="77" spans="1:60" x14ac:dyDescent="0.25">
      <c r="A77" s="216" t="str">
        <f t="shared" si="120"/>
        <v/>
      </c>
      <c r="B77" s="217" t="str">
        <f t="shared" si="121"/>
        <v/>
      </c>
      <c r="C77" s="217" t="str">
        <f t="shared" si="122"/>
        <v/>
      </c>
      <c r="D77" s="217" t="str">
        <f t="shared" si="123"/>
        <v/>
      </c>
      <c r="E77" s="217" t="str">
        <f t="shared" si="124"/>
        <v/>
      </c>
      <c r="F77" s="217" t="str">
        <f t="shared" si="125"/>
        <v/>
      </c>
      <c r="G77" s="217" t="str">
        <f t="shared" si="126"/>
        <v/>
      </c>
      <c r="H77" s="218" t="str">
        <f t="shared" si="127"/>
        <v/>
      </c>
      <c r="I77" s="219" t="str">
        <f t="shared" si="128"/>
        <v/>
      </c>
      <c r="J77" s="219" t="str">
        <f t="shared" si="129"/>
        <v/>
      </c>
      <c r="K77" s="206" t="str">
        <f t="shared" si="130"/>
        <v/>
      </c>
      <c r="L77" s="272" t="str">
        <f t="shared" si="131"/>
        <v/>
      </c>
      <c r="M77" s="216">
        <f>IF(最早可退休日期!$D$2&lt;&gt;"職員",Y79,IF(AND($AS$3&lt;$AS$2,$AS$4&lt;$AS$2),Y79,IF($AS$3&lt;$AS$2,Y78,Y77)))</f>
        <v>145</v>
      </c>
      <c r="N77" s="217" t="str">
        <f>IF(最早可退休日期!$D$2&lt;&gt;"職員",Z79,IF(AND($AS$3&lt;$AS$2,$AS$4&lt;$AS$2),Z79,IF($AS$3&lt;$AS$2,Z78,Z77)))</f>
        <v>無</v>
      </c>
      <c r="O77" s="217">
        <f>IF(最早可退休日期!$D$2&lt;&gt;"職員",AA79,IF(AND($AS$3&lt;$AS$2,$AS$4&lt;$AS$2),AA79,IF($AS$3&lt;$AS$2,AA78,AA77)))</f>
        <v>58</v>
      </c>
      <c r="P77" s="217">
        <f>IF(最早可退休日期!$D$2&lt;&gt;"職員",AB79,IF(AND($AS$3&lt;$AS$2,$AS$4&lt;$AS$2),AB79,IF($AS$3&lt;$AS$2,AB78,AB77)))</f>
        <v>55</v>
      </c>
      <c r="Q77" s="217">
        <f>IF(最早可退休日期!$D$2&lt;&gt;"職員",AC79,IF(AND($AS$3&lt;$AS$2,$AS$4&lt;$AS$2),AC79,IF($AS$3&lt;$AS$2,AC78,AC77)))</f>
        <v>145</v>
      </c>
      <c r="R77" s="217" t="e">
        <f>IF(最早可退休日期!$D$2&lt;&gt;"職員",AD79,IF(AND($AS$3&lt;$AS$2,$AS$4&lt;$AS$2),AD79,IF($AS$3&lt;$AS$2,AD78,AD77)))</f>
        <v>#VALUE!</v>
      </c>
      <c r="S77" s="217" t="e">
        <f>IF(最早可退休日期!$D$2&lt;&gt;"職員",AE79,IF(AND($AS$3&lt;$AS$2,$AS$4&lt;$AS$2),AE79,IF($AS$3&lt;$AS$2,AE78,AE77)))</f>
        <v>#VALUE!</v>
      </c>
      <c r="T77" s="218" t="str">
        <f>IF(最早可退休日期!$D$2&lt;&gt;"職員",AF79,IF(AND($AS$3&lt;$AS$2,$AS$4&lt;$AS$2),AF79,IF($AS$3&lt;$AS$2,AF78,AF77)))</f>
        <v>145年2月1日</v>
      </c>
      <c r="U77" s="219" t="e">
        <f>IF(最早可退休日期!$D$2&lt;&gt;"職員",AG79,IF(AND($AS$3&lt;$AS$2,$AS$4&lt;$AS$2),AG79,IF($AS$3&lt;$AS$2,AG78,AG77)))</f>
        <v>#VALUE!</v>
      </c>
      <c r="V77" s="219" t="e">
        <f>IF(最早可退休日期!$D$2&lt;&gt;"職員",AH79,IF(AND($AS$3&lt;$AS$2,$AS$4&lt;$AS$2),AH79,IF($AS$3&lt;$AS$2,AH78,AH77)))</f>
        <v>#VALUE!</v>
      </c>
      <c r="W77" s="206" t="e">
        <f>IF(最早可退休日期!$D$2&lt;&gt;"職員",AI79,IF(AND($AS$3&lt;$AS$2,$AS$4&lt;$AS$2),AI79,IF($AS$3&lt;$AS$2,AI78,AI77)))</f>
        <v>#VALUE!</v>
      </c>
      <c r="X77" s="207" t="e">
        <f>IF(最早可退休日期!$D$2&lt;&gt;"職員",AJ79,IF(AND($AS$3&lt;$AS$2,$AS$4&lt;$AS$2),AJ79,IF($AS$3&lt;$AS$2,AJ78,AJ77)))</f>
        <v>#VALUE!</v>
      </c>
      <c r="Y77" s="217">
        <f t="shared" si="93"/>
        <v>144</v>
      </c>
      <c r="Z77" s="217" t="str">
        <f t="shared" si="119"/>
        <v>無</v>
      </c>
      <c r="AA77" s="217">
        <f>IF(最早退休日期!$B$1="中等以下教師",58,IF(Y77&gt;=122,65,IF(Y77&lt;107,50,VLOOKUP(Y77,Legal_Year,3,0))))</f>
        <v>58</v>
      </c>
      <c r="AB77" s="217">
        <f t="shared" si="87"/>
        <v>55</v>
      </c>
      <c r="AC77" s="217">
        <f t="shared" si="94"/>
        <v>144</v>
      </c>
      <c r="AD77" s="217" t="e">
        <f t="shared" si="95"/>
        <v>#VALUE!</v>
      </c>
      <c r="AE77" s="217" t="e">
        <f t="shared" si="88"/>
        <v>#VALUE!</v>
      </c>
      <c r="AF77" s="227" t="str">
        <f t="shared" si="96"/>
        <v>144年2月1日</v>
      </c>
      <c r="AG77" s="219" t="e">
        <f t="shared" si="97"/>
        <v>#VALUE!</v>
      </c>
      <c r="AH77" s="219" t="e">
        <f t="shared" si="98"/>
        <v>#VALUE!</v>
      </c>
      <c r="AI77" s="206" t="e">
        <f t="shared" si="99"/>
        <v>#VALUE!</v>
      </c>
      <c r="AJ77" s="207" t="e">
        <f t="shared" si="100"/>
        <v>#VALUE!</v>
      </c>
      <c r="AK77" s="217">
        <f t="shared" si="132"/>
        <v>144</v>
      </c>
      <c r="AL77" s="217" t="e">
        <f t="shared" si="101"/>
        <v>#VALUE!</v>
      </c>
      <c r="AM77" s="220" t="e">
        <f t="shared" si="102"/>
        <v>#VALUE!</v>
      </c>
      <c r="AN77" s="220" t="e">
        <f t="shared" si="103"/>
        <v>#VALUE!</v>
      </c>
      <c r="AO77" s="220" t="e">
        <f t="shared" si="104"/>
        <v>#VALUE!</v>
      </c>
      <c r="AP77" s="221" t="e">
        <f t="shared" si="105"/>
        <v>#VALUE!</v>
      </c>
      <c r="AQ77" s="221" t="e">
        <f t="shared" si="106"/>
        <v>#VALUE!</v>
      </c>
      <c r="AR77" s="222" t="e">
        <f t="shared" si="107"/>
        <v>#VALUE!</v>
      </c>
      <c r="AS77" s="223">
        <f>IF(最早退休日期!$B$2="職員",MIN(IF(ISERROR(DATEVALUE(CONCATENATE(AK77+1911,"/",$AA$1000,"/",$AB$1000))),DATEVALUE(CONCATENATE(AK77+1911,"/",3,"/",1)),DATEVALUE(CONCATENATE(AK77+1911,"/",$AA$1000,"/",$AB$1000))),AR77),DATEVALUE(CONCATENATE(AK77+1911,"/2/1")))</f>
        <v>56646</v>
      </c>
      <c r="AT77" s="224" t="e">
        <f t="shared" si="108"/>
        <v>#VALUE!</v>
      </c>
      <c r="AU77" s="224" t="e">
        <f t="shared" si="109"/>
        <v>#VALUE!</v>
      </c>
      <c r="AV77" s="224" t="e">
        <f t="shared" si="89"/>
        <v>#VALUE!</v>
      </c>
      <c r="AW77" s="224" t="e">
        <f t="shared" si="110"/>
        <v>#VALUE!</v>
      </c>
      <c r="AX77" s="224" t="b">
        <f t="shared" si="111"/>
        <v>1</v>
      </c>
      <c r="AY77" s="224" t="e">
        <f t="shared" si="112"/>
        <v>#VALUE!</v>
      </c>
      <c r="AZ77" s="224" t="b">
        <f t="shared" si="113"/>
        <v>1</v>
      </c>
      <c r="BA77" s="224" t="e">
        <f t="shared" si="90"/>
        <v>#VALUE!</v>
      </c>
      <c r="BB77" s="224" t="e">
        <f t="shared" si="91"/>
        <v>#VALUE!</v>
      </c>
      <c r="BC77" s="224" t="e">
        <f t="shared" si="92"/>
        <v>#VALUE!</v>
      </c>
      <c r="BD77" s="225" t="e">
        <f t="shared" si="114"/>
        <v>#VALUE!</v>
      </c>
      <c r="BE77" s="225" t="e">
        <f t="shared" si="115"/>
        <v>#VALUE!</v>
      </c>
      <c r="BF77" s="225" t="e">
        <f t="shared" si="116"/>
        <v>#VALUE!</v>
      </c>
      <c r="BG77" s="226" t="e">
        <f t="shared" si="117"/>
        <v>#VALUE!</v>
      </c>
      <c r="BH77" s="227" t="e">
        <f t="shared" si="118"/>
        <v>#VALUE!</v>
      </c>
    </row>
    <row r="78" spans="1:60" x14ac:dyDescent="0.25">
      <c r="A78" s="216" t="str">
        <f t="shared" si="120"/>
        <v/>
      </c>
      <c r="B78" s="217" t="str">
        <f t="shared" si="121"/>
        <v/>
      </c>
      <c r="C78" s="217" t="str">
        <f t="shared" si="122"/>
        <v/>
      </c>
      <c r="D78" s="217" t="str">
        <f t="shared" si="123"/>
        <v/>
      </c>
      <c r="E78" s="217" t="str">
        <f t="shared" si="124"/>
        <v/>
      </c>
      <c r="F78" s="217" t="str">
        <f t="shared" si="125"/>
        <v/>
      </c>
      <c r="G78" s="217" t="str">
        <f t="shared" si="126"/>
        <v/>
      </c>
      <c r="H78" s="218" t="str">
        <f t="shared" si="127"/>
        <v/>
      </c>
      <c r="I78" s="219" t="str">
        <f t="shared" si="128"/>
        <v/>
      </c>
      <c r="J78" s="219" t="str">
        <f t="shared" si="129"/>
        <v/>
      </c>
      <c r="K78" s="206" t="str">
        <f t="shared" si="130"/>
        <v/>
      </c>
      <c r="L78" s="272" t="str">
        <f t="shared" si="131"/>
        <v/>
      </c>
      <c r="M78" s="216">
        <f>IF(最早可退休日期!$D$2&lt;&gt;"職員",Y80,IF(AND($AS$3&lt;$AS$2,$AS$4&lt;$AS$2),Y80,IF($AS$3&lt;$AS$2,Y79,Y78)))</f>
        <v>145</v>
      </c>
      <c r="N78" s="217" t="str">
        <f>IF(最早可退休日期!$D$2&lt;&gt;"職員",Z80,IF(AND($AS$3&lt;$AS$2,$AS$4&lt;$AS$2),Z80,IF($AS$3&lt;$AS$2,Z79,Z78)))</f>
        <v>無</v>
      </c>
      <c r="O78" s="217">
        <f>IF(最早可退休日期!$D$2&lt;&gt;"職員",AA80,IF(AND($AS$3&lt;$AS$2,$AS$4&lt;$AS$2),AA80,IF($AS$3&lt;$AS$2,AA79,AA78)))</f>
        <v>58</v>
      </c>
      <c r="P78" s="217">
        <f>IF(最早可退休日期!$D$2&lt;&gt;"職員",AB80,IF(AND($AS$3&lt;$AS$2,$AS$4&lt;$AS$2),AB80,IF($AS$3&lt;$AS$2,AB79,AB78)))</f>
        <v>55</v>
      </c>
      <c r="Q78" s="217">
        <f>IF(最早可退休日期!$D$2&lt;&gt;"職員",AC80,IF(AND($AS$3&lt;$AS$2,$AS$4&lt;$AS$2),AC80,IF($AS$3&lt;$AS$2,AC79,AC78)))</f>
        <v>145</v>
      </c>
      <c r="R78" s="217" t="e">
        <f>IF(最早可退休日期!$D$2&lt;&gt;"職員",AD80,IF(AND($AS$3&lt;$AS$2,$AS$4&lt;$AS$2),AD80,IF($AS$3&lt;$AS$2,AD79,AD78)))</f>
        <v>#VALUE!</v>
      </c>
      <c r="S78" s="217" t="e">
        <f>IF(最早可退休日期!$D$2&lt;&gt;"職員",AE80,IF(AND($AS$3&lt;$AS$2,$AS$4&lt;$AS$2),AE80,IF($AS$3&lt;$AS$2,AE79,AE78)))</f>
        <v>#VALUE!</v>
      </c>
      <c r="T78" s="218" t="str">
        <f>IF(最早可退休日期!$D$2&lt;&gt;"職員",AF80,IF(AND($AS$3&lt;$AS$2,$AS$4&lt;$AS$2),AF80,IF($AS$3&lt;$AS$2,AF79,AF78)))</f>
        <v>145年8月1日</v>
      </c>
      <c r="U78" s="219" t="e">
        <f>IF(最早可退休日期!$D$2&lt;&gt;"職員",AG80,IF(AND($AS$3&lt;$AS$2,$AS$4&lt;$AS$2),AG80,IF($AS$3&lt;$AS$2,AG79,AG78)))</f>
        <v>#VALUE!</v>
      </c>
      <c r="V78" s="219" t="e">
        <f>IF(最早可退休日期!$D$2&lt;&gt;"職員",AH80,IF(AND($AS$3&lt;$AS$2,$AS$4&lt;$AS$2),AH80,IF($AS$3&lt;$AS$2,AH79,AH78)))</f>
        <v>#VALUE!</v>
      </c>
      <c r="W78" s="206" t="e">
        <f>IF(最早可退休日期!$D$2&lt;&gt;"職員",AI80,IF(AND($AS$3&lt;$AS$2,$AS$4&lt;$AS$2),AI80,IF($AS$3&lt;$AS$2,AI79,AI78)))</f>
        <v>#VALUE!</v>
      </c>
      <c r="X78" s="207" t="e">
        <f>IF(最早可退休日期!$D$2&lt;&gt;"職員",AJ80,IF(AND($AS$3&lt;$AS$2,$AS$4&lt;$AS$2),AJ80,IF($AS$3&lt;$AS$2,AJ79,AJ78)))</f>
        <v>#VALUE!</v>
      </c>
      <c r="Y78" s="217">
        <f t="shared" si="93"/>
        <v>144</v>
      </c>
      <c r="Z78" s="217" t="str">
        <f t="shared" si="119"/>
        <v>無</v>
      </c>
      <c r="AA78" s="217">
        <f>IF(最早退休日期!$B$1="中等以下教師",58,IF(Y78&gt;=122,65,IF(Y78&lt;107,50,VLOOKUP(Y78,Legal_Year,3,0))))</f>
        <v>58</v>
      </c>
      <c r="AB78" s="217">
        <f t="shared" si="87"/>
        <v>55</v>
      </c>
      <c r="AC78" s="217">
        <f t="shared" si="94"/>
        <v>144</v>
      </c>
      <c r="AD78" s="217" t="e">
        <f t="shared" si="95"/>
        <v>#VALUE!</v>
      </c>
      <c r="AE78" s="217" t="e">
        <f t="shared" si="88"/>
        <v>#VALUE!</v>
      </c>
      <c r="AF78" s="227" t="str">
        <f t="shared" si="96"/>
        <v>144年8月1日</v>
      </c>
      <c r="AG78" s="219" t="e">
        <f t="shared" si="97"/>
        <v>#VALUE!</v>
      </c>
      <c r="AH78" s="219" t="e">
        <f t="shared" si="98"/>
        <v>#VALUE!</v>
      </c>
      <c r="AI78" s="206" t="e">
        <f t="shared" si="99"/>
        <v>#VALUE!</v>
      </c>
      <c r="AJ78" s="207" t="e">
        <f t="shared" si="100"/>
        <v>#VALUE!</v>
      </c>
      <c r="AK78" s="217">
        <f t="shared" si="132"/>
        <v>144</v>
      </c>
      <c r="AL78" s="217" t="e">
        <f t="shared" si="101"/>
        <v>#VALUE!</v>
      </c>
      <c r="AM78" s="220" t="e">
        <f t="shared" si="102"/>
        <v>#VALUE!</v>
      </c>
      <c r="AN78" s="220" t="e">
        <f t="shared" si="103"/>
        <v>#VALUE!</v>
      </c>
      <c r="AO78" s="220" t="e">
        <f t="shared" si="104"/>
        <v>#VALUE!</v>
      </c>
      <c r="AP78" s="221" t="e">
        <f t="shared" si="105"/>
        <v>#VALUE!</v>
      </c>
      <c r="AQ78" s="221" t="e">
        <f t="shared" si="106"/>
        <v>#VALUE!</v>
      </c>
      <c r="AR78" s="222" t="e">
        <f t="shared" si="107"/>
        <v>#VALUE!</v>
      </c>
      <c r="AS78" s="223">
        <f>IF(最早退休日期!$B$2="職員",MAX(IF(ISERROR(DATEVALUE(CONCATENATE(AK78+1911,"/",$AA$1000,"/",$AB$1000))),DATEVALUE(CONCATENATE(AK78+1911,"/",3,"/",1)),DATEVALUE(CONCATENATE(AK78+1911,"/",$AA$1000,"/",$AB$1000))),AR78),DATEVALUE(CONCATENATE(AK78+1911,"/8/1")))</f>
        <v>56827</v>
      </c>
      <c r="AT78" s="224" t="e">
        <f t="shared" si="108"/>
        <v>#VALUE!</v>
      </c>
      <c r="AU78" s="224" t="e">
        <f t="shared" si="109"/>
        <v>#VALUE!</v>
      </c>
      <c r="AV78" s="224" t="e">
        <f t="shared" si="89"/>
        <v>#VALUE!</v>
      </c>
      <c r="AW78" s="224" t="e">
        <f t="shared" si="110"/>
        <v>#VALUE!</v>
      </c>
      <c r="AX78" s="224" t="b">
        <f t="shared" si="111"/>
        <v>1</v>
      </c>
      <c r="AY78" s="224" t="e">
        <f t="shared" si="112"/>
        <v>#VALUE!</v>
      </c>
      <c r="AZ78" s="224" t="b">
        <f t="shared" si="113"/>
        <v>1</v>
      </c>
      <c r="BA78" s="224" t="e">
        <f t="shared" si="90"/>
        <v>#VALUE!</v>
      </c>
      <c r="BB78" s="224" t="e">
        <f t="shared" si="91"/>
        <v>#VALUE!</v>
      </c>
      <c r="BC78" s="224" t="e">
        <f t="shared" si="92"/>
        <v>#VALUE!</v>
      </c>
      <c r="BD78" s="225" t="e">
        <f t="shared" si="114"/>
        <v>#VALUE!</v>
      </c>
      <c r="BE78" s="225" t="e">
        <f t="shared" si="115"/>
        <v>#VALUE!</v>
      </c>
      <c r="BF78" s="225" t="e">
        <f t="shared" si="116"/>
        <v>#VALUE!</v>
      </c>
      <c r="BG78" s="226" t="e">
        <f t="shared" si="117"/>
        <v>#VALUE!</v>
      </c>
      <c r="BH78" s="227" t="e">
        <f t="shared" si="118"/>
        <v>#VALUE!</v>
      </c>
    </row>
    <row r="79" spans="1:60" x14ac:dyDescent="0.25">
      <c r="A79" s="216" t="str">
        <f t="shared" si="120"/>
        <v/>
      </c>
      <c r="B79" s="217" t="str">
        <f t="shared" si="121"/>
        <v/>
      </c>
      <c r="C79" s="217" t="str">
        <f t="shared" si="122"/>
        <v/>
      </c>
      <c r="D79" s="217" t="str">
        <f t="shared" si="123"/>
        <v/>
      </c>
      <c r="E79" s="217" t="str">
        <f t="shared" si="124"/>
        <v/>
      </c>
      <c r="F79" s="217" t="str">
        <f t="shared" si="125"/>
        <v/>
      </c>
      <c r="G79" s="217" t="str">
        <f t="shared" si="126"/>
        <v/>
      </c>
      <c r="H79" s="218" t="str">
        <f t="shared" si="127"/>
        <v/>
      </c>
      <c r="I79" s="219" t="str">
        <f t="shared" si="128"/>
        <v/>
      </c>
      <c r="J79" s="219" t="str">
        <f t="shared" si="129"/>
        <v/>
      </c>
      <c r="K79" s="206" t="str">
        <f t="shared" si="130"/>
        <v/>
      </c>
      <c r="L79" s="272" t="str">
        <f t="shared" si="131"/>
        <v/>
      </c>
      <c r="M79" s="216">
        <f>IF(最早可退休日期!$D$2&lt;&gt;"職員",Y81,IF(AND($AS$3&lt;$AS$2,$AS$4&lt;$AS$2),Y81,IF($AS$3&lt;$AS$2,Y80,Y79)))</f>
        <v>146</v>
      </c>
      <c r="N79" s="217" t="str">
        <f>IF(最早可退休日期!$D$2&lt;&gt;"職員",Z81,IF(AND($AS$3&lt;$AS$2,$AS$4&lt;$AS$2),Z81,IF($AS$3&lt;$AS$2,Z80,Z79)))</f>
        <v>無</v>
      </c>
      <c r="O79" s="217">
        <f>IF(最早可退休日期!$D$2&lt;&gt;"職員",AA81,IF(AND($AS$3&lt;$AS$2,$AS$4&lt;$AS$2),AA81,IF($AS$3&lt;$AS$2,AA80,AA79)))</f>
        <v>58</v>
      </c>
      <c r="P79" s="217">
        <f>IF(最早可退休日期!$D$2&lt;&gt;"職員",AB81,IF(AND($AS$3&lt;$AS$2,$AS$4&lt;$AS$2),AB81,IF($AS$3&lt;$AS$2,AB80,AB79)))</f>
        <v>55</v>
      </c>
      <c r="Q79" s="217">
        <f>IF(最早可退休日期!$D$2&lt;&gt;"職員",AC81,IF(AND($AS$3&lt;$AS$2,$AS$4&lt;$AS$2),AC81,IF($AS$3&lt;$AS$2,AC80,AC79)))</f>
        <v>146</v>
      </c>
      <c r="R79" s="217" t="e">
        <f>IF(最早可退休日期!$D$2&lt;&gt;"職員",AD81,IF(AND($AS$3&lt;$AS$2,$AS$4&lt;$AS$2),AD81,IF($AS$3&lt;$AS$2,AD80,AD79)))</f>
        <v>#VALUE!</v>
      </c>
      <c r="S79" s="217" t="e">
        <f>IF(最早可退休日期!$D$2&lt;&gt;"職員",AE81,IF(AND($AS$3&lt;$AS$2,$AS$4&lt;$AS$2),AE81,IF($AS$3&lt;$AS$2,AE80,AE79)))</f>
        <v>#VALUE!</v>
      </c>
      <c r="T79" s="218" t="str">
        <f>IF(最早可退休日期!$D$2&lt;&gt;"職員",AF81,IF(AND($AS$3&lt;$AS$2,$AS$4&lt;$AS$2),AF81,IF($AS$3&lt;$AS$2,AF80,AF79)))</f>
        <v>146年2月1日</v>
      </c>
      <c r="U79" s="219" t="e">
        <f>IF(最早可退休日期!$D$2&lt;&gt;"職員",AG81,IF(AND($AS$3&lt;$AS$2,$AS$4&lt;$AS$2),AG81,IF($AS$3&lt;$AS$2,AG80,AG79)))</f>
        <v>#VALUE!</v>
      </c>
      <c r="V79" s="219" t="e">
        <f>IF(最早可退休日期!$D$2&lt;&gt;"職員",AH81,IF(AND($AS$3&lt;$AS$2,$AS$4&lt;$AS$2),AH81,IF($AS$3&lt;$AS$2,AH80,AH79)))</f>
        <v>#VALUE!</v>
      </c>
      <c r="W79" s="206" t="e">
        <f>IF(最早可退休日期!$D$2&lt;&gt;"職員",AI81,IF(AND($AS$3&lt;$AS$2,$AS$4&lt;$AS$2),AI81,IF($AS$3&lt;$AS$2,AI80,AI79)))</f>
        <v>#VALUE!</v>
      </c>
      <c r="X79" s="207" t="e">
        <f>IF(最早可退休日期!$D$2&lt;&gt;"職員",AJ81,IF(AND($AS$3&lt;$AS$2,$AS$4&lt;$AS$2),AJ81,IF($AS$3&lt;$AS$2,AJ80,AJ79)))</f>
        <v>#VALUE!</v>
      </c>
      <c r="Y79" s="217">
        <f t="shared" si="93"/>
        <v>145</v>
      </c>
      <c r="Z79" s="217" t="str">
        <f t="shared" si="119"/>
        <v>無</v>
      </c>
      <c r="AA79" s="217">
        <f>IF(最早退休日期!$B$1="中等以下教師",58,IF(Y79&gt;=122,65,IF(Y79&lt;107,50,VLOOKUP(Y79,Legal_Year,3,0))))</f>
        <v>58</v>
      </c>
      <c r="AB79" s="217">
        <f t="shared" si="87"/>
        <v>55</v>
      </c>
      <c r="AC79" s="217">
        <f t="shared" si="94"/>
        <v>145</v>
      </c>
      <c r="AD79" s="217" t="e">
        <f t="shared" si="95"/>
        <v>#VALUE!</v>
      </c>
      <c r="AE79" s="217" t="e">
        <f t="shared" si="88"/>
        <v>#VALUE!</v>
      </c>
      <c r="AF79" s="227" t="str">
        <f t="shared" si="96"/>
        <v>145年2月1日</v>
      </c>
      <c r="AG79" s="219" t="e">
        <f t="shared" si="97"/>
        <v>#VALUE!</v>
      </c>
      <c r="AH79" s="219" t="e">
        <f t="shared" si="98"/>
        <v>#VALUE!</v>
      </c>
      <c r="AI79" s="206" t="e">
        <f t="shared" si="99"/>
        <v>#VALUE!</v>
      </c>
      <c r="AJ79" s="207" t="e">
        <f t="shared" si="100"/>
        <v>#VALUE!</v>
      </c>
      <c r="AK79" s="217">
        <f t="shared" si="132"/>
        <v>145</v>
      </c>
      <c r="AL79" s="217" t="e">
        <f t="shared" si="101"/>
        <v>#VALUE!</v>
      </c>
      <c r="AM79" s="220" t="e">
        <f t="shared" si="102"/>
        <v>#VALUE!</v>
      </c>
      <c r="AN79" s="220" t="e">
        <f t="shared" si="103"/>
        <v>#VALUE!</v>
      </c>
      <c r="AO79" s="220" t="e">
        <f t="shared" si="104"/>
        <v>#VALUE!</v>
      </c>
      <c r="AP79" s="221" t="e">
        <f t="shared" si="105"/>
        <v>#VALUE!</v>
      </c>
      <c r="AQ79" s="221" t="e">
        <f t="shared" si="106"/>
        <v>#VALUE!</v>
      </c>
      <c r="AR79" s="222" t="e">
        <f t="shared" si="107"/>
        <v>#VALUE!</v>
      </c>
      <c r="AS79" s="223">
        <f>IF(最早退休日期!$B$2="職員",MIN(IF(ISERROR(DATEVALUE(CONCATENATE(AK79+1911,"/",$AA$1000,"/",$AB$1000))),DATEVALUE(CONCATENATE(AK79+1911,"/",3,"/",1)),DATEVALUE(CONCATENATE(AK79+1911,"/",$AA$1000,"/",$AB$1000))),AR79),DATEVALUE(CONCATENATE(AK79+1911,"/2/1")))</f>
        <v>57011</v>
      </c>
      <c r="AT79" s="224" t="e">
        <f t="shared" si="108"/>
        <v>#VALUE!</v>
      </c>
      <c r="AU79" s="224" t="e">
        <f t="shared" si="109"/>
        <v>#VALUE!</v>
      </c>
      <c r="AV79" s="224" t="e">
        <f t="shared" si="89"/>
        <v>#VALUE!</v>
      </c>
      <c r="AW79" s="224" t="e">
        <f t="shared" si="110"/>
        <v>#VALUE!</v>
      </c>
      <c r="AX79" s="224" t="b">
        <f t="shared" si="111"/>
        <v>1</v>
      </c>
      <c r="AY79" s="224" t="e">
        <f t="shared" si="112"/>
        <v>#VALUE!</v>
      </c>
      <c r="AZ79" s="224" t="b">
        <f t="shared" si="113"/>
        <v>1</v>
      </c>
      <c r="BA79" s="224" t="e">
        <f t="shared" si="90"/>
        <v>#VALUE!</v>
      </c>
      <c r="BB79" s="224" t="e">
        <f t="shared" si="91"/>
        <v>#VALUE!</v>
      </c>
      <c r="BC79" s="224" t="e">
        <f t="shared" si="92"/>
        <v>#VALUE!</v>
      </c>
      <c r="BD79" s="225" t="e">
        <f t="shared" si="114"/>
        <v>#VALUE!</v>
      </c>
      <c r="BE79" s="225" t="e">
        <f t="shared" si="115"/>
        <v>#VALUE!</v>
      </c>
      <c r="BF79" s="225" t="e">
        <f t="shared" si="116"/>
        <v>#VALUE!</v>
      </c>
      <c r="BG79" s="226" t="e">
        <f t="shared" si="117"/>
        <v>#VALUE!</v>
      </c>
      <c r="BH79" s="227" t="e">
        <f t="shared" si="118"/>
        <v>#VALUE!</v>
      </c>
    </row>
    <row r="80" spans="1:60" x14ac:dyDescent="0.25">
      <c r="A80" s="216" t="str">
        <f t="shared" si="120"/>
        <v/>
      </c>
      <c r="B80" s="217" t="str">
        <f t="shared" si="121"/>
        <v/>
      </c>
      <c r="C80" s="217" t="str">
        <f t="shared" si="122"/>
        <v/>
      </c>
      <c r="D80" s="217" t="str">
        <f t="shared" si="123"/>
        <v/>
      </c>
      <c r="E80" s="217" t="str">
        <f t="shared" si="124"/>
        <v/>
      </c>
      <c r="F80" s="217" t="str">
        <f t="shared" si="125"/>
        <v/>
      </c>
      <c r="G80" s="217" t="str">
        <f t="shared" si="126"/>
        <v/>
      </c>
      <c r="H80" s="218" t="str">
        <f t="shared" si="127"/>
        <v/>
      </c>
      <c r="I80" s="219" t="str">
        <f t="shared" si="128"/>
        <v/>
      </c>
      <c r="J80" s="219" t="str">
        <f t="shared" si="129"/>
        <v/>
      </c>
      <c r="K80" s="206" t="str">
        <f t="shared" si="130"/>
        <v/>
      </c>
      <c r="L80" s="272" t="str">
        <f t="shared" si="131"/>
        <v/>
      </c>
      <c r="M80" s="216">
        <f>IF(最早可退休日期!$D$2&lt;&gt;"職員",Y82,IF(AND($AS$3&lt;$AS$2,$AS$4&lt;$AS$2),Y82,IF($AS$3&lt;$AS$2,Y81,Y80)))</f>
        <v>146</v>
      </c>
      <c r="N80" s="217" t="str">
        <f>IF(最早可退休日期!$D$2&lt;&gt;"職員",Z82,IF(AND($AS$3&lt;$AS$2,$AS$4&lt;$AS$2),Z82,IF($AS$3&lt;$AS$2,Z81,Z80)))</f>
        <v>無</v>
      </c>
      <c r="O80" s="217">
        <f>IF(最早可退休日期!$D$2&lt;&gt;"職員",AA82,IF(AND($AS$3&lt;$AS$2,$AS$4&lt;$AS$2),AA82,IF($AS$3&lt;$AS$2,AA81,AA80)))</f>
        <v>58</v>
      </c>
      <c r="P80" s="217">
        <f>IF(最早可退休日期!$D$2&lt;&gt;"職員",AB82,IF(AND($AS$3&lt;$AS$2,$AS$4&lt;$AS$2),AB82,IF($AS$3&lt;$AS$2,AB81,AB80)))</f>
        <v>55</v>
      </c>
      <c r="Q80" s="217">
        <f>IF(最早可退休日期!$D$2&lt;&gt;"職員",AC82,IF(AND($AS$3&lt;$AS$2,$AS$4&lt;$AS$2),AC82,IF($AS$3&lt;$AS$2,AC81,AC80)))</f>
        <v>146</v>
      </c>
      <c r="R80" s="217" t="e">
        <f>IF(最早可退休日期!$D$2&lt;&gt;"職員",AD82,IF(AND($AS$3&lt;$AS$2,$AS$4&lt;$AS$2),AD82,IF($AS$3&lt;$AS$2,AD81,AD80)))</f>
        <v>#VALUE!</v>
      </c>
      <c r="S80" s="217" t="e">
        <f>IF(最早可退休日期!$D$2&lt;&gt;"職員",AE82,IF(AND($AS$3&lt;$AS$2,$AS$4&lt;$AS$2),AE82,IF($AS$3&lt;$AS$2,AE81,AE80)))</f>
        <v>#VALUE!</v>
      </c>
      <c r="T80" s="218" t="str">
        <f>IF(最早可退休日期!$D$2&lt;&gt;"職員",AF82,IF(AND($AS$3&lt;$AS$2,$AS$4&lt;$AS$2),AF82,IF($AS$3&lt;$AS$2,AF81,AF80)))</f>
        <v>146年8月1日</v>
      </c>
      <c r="U80" s="219" t="e">
        <f>IF(最早可退休日期!$D$2&lt;&gt;"職員",AG82,IF(AND($AS$3&lt;$AS$2,$AS$4&lt;$AS$2),AG82,IF($AS$3&lt;$AS$2,AG81,AG80)))</f>
        <v>#VALUE!</v>
      </c>
      <c r="V80" s="219" t="e">
        <f>IF(最早可退休日期!$D$2&lt;&gt;"職員",AH82,IF(AND($AS$3&lt;$AS$2,$AS$4&lt;$AS$2),AH82,IF($AS$3&lt;$AS$2,AH81,AH80)))</f>
        <v>#VALUE!</v>
      </c>
      <c r="W80" s="206" t="e">
        <f>IF(最早可退休日期!$D$2&lt;&gt;"職員",AI82,IF(AND($AS$3&lt;$AS$2,$AS$4&lt;$AS$2),AI82,IF($AS$3&lt;$AS$2,AI81,AI80)))</f>
        <v>#VALUE!</v>
      </c>
      <c r="X80" s="207" t="e">
        <f>IF(最早可退休日期!$D$2&lt;&gt;"職員",AJ82,IF(AND($AS$3&lt;$AS$2,$AS$4&lt;$AS$2),AJ82,IF($AS$3&lt;$AS$2,AJ81,AJ80)))</f>
        <v>#VALUE!</v>
      </c>
      <c r="Y80" s="217">
        <f t="shared" si="93"/>
        <v>145</v>
      </c>
      <c r="Z80" s="217" t="str">
        <f t="shared" si="119"/>
        <v>無</v>
      </c>
      <c r="AA80" s="217">
        <f>IF(最早退休日期!$B$1="中等以下教師",58,IF(Y80&gt;=122,65,IF(Y80&lt;107,50,VLOOKUP(Y80,Legal_Year,3,0))))</f>
        <v>58</v>
      </c>
      <c r="AB80" s="217">
        <f t="shared" si="87"/>
        <v>55</v>
      </c>
      <c r="AC80" s="217">
        <f t="shared" si="94"/>
        <v>145</v>
      </c>
      <c r="AD80" s="217" t="e">
        <f t="shared" si="95"/>
        <v>#VALUE!</v>
      </c>
      <c r="AE80" s="217" t="e">
        <f t="shared" si="88"/>
        <v>#VALUE!</v>
      </c>
      <c r="AF80" s="227" t="str">
        <f t="shared" si="96"/>
        <v>145年8月1日</v>
      </c>
      <c r="AG80" s="219" t="e">
        <f t="shared" si="97"/>
        <v>#VALUE!</v>
      </c>
      <c r="AH80" s="219" t="e">
        <f t="shared" si="98"/>
        <v>#VALUE!</v>
      </c>
      <c r="AI80" s="206" t="e">
        <f t="shared" si="99"/>
        <v>#VALUE!</v>
      </c>
      <c r="AJ80" s="207" t="e">
        <f t="shared" si="100"/>
        <v>#VALUE!</v>
      </c>
      <c r="AK80" s="217">
        <f t="shared" si="132"/>
        <v>145</v>
      </c>
      <c r="AL80" s="217" t="e">
        <f t="shared" si="101"/>
        <v>#VALUE!</v>
      </c>
      <c r="AM80" s="220" t="e">
        <f t="shared" si="102"/>
        <v>#VALUE!</v>
      </c>
      <c r="AN80" s="220" t="e">
        <f t="shared" si="103"/>
        <v>#VALUE!</v>
      </c>
      <c r="AO80" s="220" t="e">
        <f t="shared" si="104"/>
        <v>#VALUE!</v>
      </c>
      <c r="AP80" s="221" t="e">
        <f t="shared" si="105"/>
        <v>#VALUE!</v>
      </c>
      <c r="AQ80" s="221" t="e">
        <f t="shared" si="106"/>
        <v>#VALUE!</v>
      </c>
      <c r="AR80" s="222" t="e">
        <f t="shared" si="107"/>
        <v>#VALUE!</v>
      </c>
      <c r="AS80" s="223">
        <f>IF(最早退休日期!$B$2="職員",MAX(IF(ISERROR(DATEVALUE(CONCATENATE(AK80+1911,"/",$AA$1000,"/",$AB$1000))),DATEVALUE(CONCATENATE(AK80+1911,"/",3,"/",1)),DATEVALUE(CONCATENATE(AK80+1911,"/",$AA$1000,"/",$AB$1000))),AR80),DATEVALUE(CONCATENATE(AK80+1911,"/8/1")))</f>
        <v>57193</v>
      </c>
      <c r="AT80" s="224" t="e">
        <f t="shared" si="108"/>
        <v>#VALUE!</v>
      </c>
      <c r="AU80" s="224" t="e">
        <f t="shared" si="109"/>
        <v>#VALUE!</v>
      </c>
      <c r="AV80" s="224" t="e">
        <f t="shared" si="89"/>
        <v>#VALUE!</v>
      </c>
      <c r="AW80" s="224" t="e">
        <f t="shared" si="110"/>
        <v>#VALUE!</v>
      </c>
      <c r="AX80" s="224" t="b">
        <f t="shared" si="111"/>
        <v>1</v>
      </c>
      <c r="AY80" s="224" t="e">
        <f t="shared" si="112"/>
        <v>#VALUE!</v>
      </c>
      <c r="AZ80" s="224" t="b">
        <f t="shared" si="113"/>
        <v>1</v>
      </c>
      <c r="BA80" s="224" t="e">
        <f t="shared" si="90"/>
        <v>#VALUE!</v>
      </c>
      <c r="BB80" s="224" t="e">
        <f t="shared" si="91"/>
        <v>#VALUE!</v>
      </c>
      <c r="BC80" s="224" t="e">
        <f t="shared" si="92"/>
        <v>#VALUE!</v>
      </c>
      <c r="BD80" s="225" t="e">
        <f t="shared" si="114"/>
        <v>#VALUE!</v>
      </c>
      <c r="BE80" s="225" t="e">
        <f t="shared" si="115"/>
        <v>#VALUE!</v>
      </c>
      <c r="BF80" s="225" t="e">
        <f t="shared" si="116"/>
        <v>#VALUE!</v>
      </c>
      <c r="BG80" s="226" t="e">
        <f t="shared" si="117"/>
        <v>#VALUE!</v>
      </c>
      <c r="BH80" s="227" t="e">
        <f t="shared" si="118"/>
        <v>#VALUE!</v>
      </c>
    </row>
    <row r="81" spans="1:60" x14ac:dyDescent="0.25">
      <c r="A81" s="216" t="str">
        <f t="shared" si="120"/>
        <v/>
      </c>
      <c r="B81" s="217" t="str">
        <f t="shared" si="121"/>
        <v/>
      </c>
      <c r="C81" s="217" t="str">
        <f t="shared" si="122"/>
        <v/>
      </c>
      <c r="D81" s="217" t="str">
        <f t="shared" si="123"/>
        <v/>
      </c>
      <c r="E81" s="217" t="str">
        <f t="shared" si="124"/>
        <v/>
      </c>
      <c r="F81" s="217" t="str">
        <f t="shared" si="125"/>
        <v/>
      </c>
      <c r="G81" s="217" t="str">
        <f t="shared" si="126"/>
        <v/>
      </c>
      <c r="H81" s="218" t="str">
        <f t="shared" si="127"/>
        <v/>
      </c>
      <c r="I81" s="219" t="str">
        <f t="shared" si="128"/>
        <v/>
      </c>
      <c r="J81" s="219" t="str">
        <f t="shared" si="129"/>
        <v/>
      </c>
      <c r="K81" s="206" t="str">
        <f t="shared" si="130"/>
        <v/>
      </c>
      <c r="L81" s="272" t="str">
        <f t="shared" si="131"/>
        <v/>
      </c>
      <c r="M81" s="216">
        <f>IF(最早可退休日期!$D$2&lt;&gt;"職員",Y83,IF(AND($AS$3&lt;$AS$2,$AS$4&lt;$AS$2),Y83,IF($AS$3&lt;$AS$2,Y82,Y81)))</f>
        <v>147</v>
      </c>
      <c r="N81" s="217" t="str">
        <f>IF(最早可退休日期!$D$2&lt;&gt;"職員",Z83,IF(AND($AS$3&lt;$AS$2,$AS$4&lt;$AS$2),Z83,IF($AS$3&lt;$AS$2,Z82,Z81)))</f>
        <v>無</v>
      </c>
      <c r="O81" s="217">
        <f>IF(最早可退休日期!$D$2&lt;&gt;"職員",AA83,IF(AND($AS$3&lt;$AS$2,$AS$4&lt;$AS$2),AA83,IF($AS$3&lt;$AS$2,AA82,AA81)))</f>
        <v>58</v>
      </c>
      <c r="P81" s="217">
        <f>IF(最早可退休日期!$D$2&lt;&gt;"職員",AB83,IF(AND($AS$3&lt;$AS$2,$AS$4&lt;$AS$2),AB83,IF($AS$3&lt;$AS$2,AB82,AB81)))</f>
        <v>55</v>
      </c>
      <c r="Q81" s="217">
        <f>IF(最早可退休日期!$D$2&lt;&gt;"職員",AC83,IF(AND($AS$3&lt;$AS$2,$AS$4&lt;$AS$2),AC83,IF($AS$3&lt;$AS$2,AC82,AC81)))</f>
        <v>147</v>
      </c>
      <c r="R81" s="217" t="e">
        <f>IF(最早可退休日期!$D$2&lt;&gt;"職員",AD83,IF(AND($AS$3&lt;$AS$2,$AS$4&lt;$AS$2),AD83,IF($AS$3&lt;$AS$2,AD82,AD81)))</f>
        <v>#VALUE!</v>
      </c>
      <c r="S81" s="217" t="e">
        <f>IF(最早可退休日期!$D$2&lt;&gt;"職員",AE83,IF(AND($AS$3&lt;$AS$2,$AS$4&lt;$AS$2),AE83,IF($AS$3&lt;$AS$2,AE82,AE81)))</f>
        <v>#VALUE!</v>
      </c>
      <c r="T81" s="218" t="str">
        <f>IF(最早可退休日期!$D$2&lt;&gt;"職員",AF83,IF(AND($AS$3&lt;$AS$2,$AS$4&lt;$AS$2),AF83,IF($AS$3&lt;$AS$2,AF82,AF81)))</f>
        <v>147年2月1日</v>
      </c>
      <c r="U81" s="219" t="e">
        <f>IF(最早可退休日期!$D$2&lt;&gt;"職員",AG83,IF(AND($AS$3&lt;$AS$2,$AS$4&lt;$AS$2),AG83,IF($AS$3&lt;$AS$2,AG82,AG81)))</f>
        <v>#VALUE!</v>
      </c>
      <c r="V81" s="219" t="e">
        <f>IF(最早可退休日期!$D$2&lt;&gt;"職員",AH83,IF(AND($AS$3&lt;$AS$2,$AS$4&lt;$AS$2),AH83,IF($AS$3&lt;$AS$2,AH82,AH81)))</f>
        <v>#VALUE!</v>
      </c>
      <c r="W81" s="206" t="e">
        <f>IF(最早可退休日期!$D$2&lt;&gt;"職員",AI83,IF(AND($AS$3&lt;$AS$2,$AS$4&lt;$AS$2),AI83,IF($AS$3&lt;$AS$2,AI82,AI81)))</f>
        <v>#VALUE!</v>
      </c>
      <c r="X81" s="207" t="e">
        <f>IF(最早可退休日期!$D$2&lt;&gt;"職員",AJ83,IF(AND($AS$3&lt;$AS$2,$AS$4&lt;$AS$2),AJ83,IF($AS$3&lt;$AS$2,AJ82,AJ81)))</f>
        <v>#VALUE!</v>
      </c>
      <c r="Y81" s="217">
        <f t="shared" si="93"/>
        <v>146</v>
      </c>
      <c r="Z81" s="217" t="str">
        <f t="shared" si="119"/>
        <v>無</v>
      </c>
      <c r="AA81" s="217">
        <f>IF(最早退休日期!$B$1="中等以下教師",58,IF(Y81&gt;=122,65,IF(Y81&lt;107,50,VLOOKUP(Y81,Legal_Year,3,0))))</f>
        <v>58</v>
      </c>
      <c r="AB81" s="217">
        <f t="shared" si="87"/>
        <v>55</v>
      </c>
      <c r="AC81" s="217">
        <f t="shared" si="94"/>
        <v>146</v>
      </c>
      <c r="AD81" s="217" t="e">
        <f t="shared" si="95"/>
        <v>#VALUE!</v>
      </c>
      <c r="AE81" s="217" t="e">
        <f t="shared" si="88"/>
        <v>#VALUE!</v>
      </c>
      <c r="AF81" s="227" t="str">
        <f t="shared" si="96"/>
        <v>146年2月1日</v>
      </c>
      <c r="AG81" s="219" t="e">
        <f t="shared" si="97"/>
        <v>#VALUE!</v>
      </c>
      <c r="AH81" s="219" t="e">
        <f t="shared" si="98"/>
        <v>#VALUE!</v>
      </c>
      <c r="AI81" s="206" t="e">
        <f t="shared" si="99"/>
        <v>#VALUE!</v>
      </c>
      <c r="AJ81" s="207" t="e">
        <f t="shared" si="100"/>
        <v>#VALUE!</v>
      </c>
      <c r="AK81" s="217">
        <f t="shared" si="132"/>
        <v>146</v>
      </c>
      <c r="AL81" s="217" t="e">
        <f t="shared" si="101"/>
        <v>#VALUE!</v>
      </c>
      <c r="AM81" s="220" t="e">
        <f t="shared" si="102"/>
        <v>#VALUE!</v>
      </c>
      <c r="AN81" s="220" t="e">
        <f t="shared" si="103"/>
        <v>#VALUE!</v>
      </c>
      <c r="AO81" s="220" t="e">
        <f t="shared" si="104"/>
        <v>#VALUE!</v>
      </c>
      <c r="AP81" s="221" t="e">
        <f t="shared" si="105"/>
        <v>#VALUE!</v>
      </c>
      <c r="AQ81" s="221" t="e">
        <f t="shared" si="106"/>
        <v>#VALUE!</v>
      </c>
      <c r="AR81" s="222" t="e">
        <f t="shared" si="107"/>
        <v>#VALUE!</v>
      </c>
      <c r="AS81" s="223">
        <f>IF(最早退休日期!$B$2="職員",MIN(IF(ISERROR(DATEVALUE(CONCATENATE(AK81+1911,"/",$AA$1000,"/",$AB$1000))),DATEVALUE(CONCATENATE(AK81+1911,"/",3,"/",1)),DATEVALUE(CONCATENATE(AK81+1911,"/",$AA$1000,"/",$AB$1000))),AR81),DATEVALUE(CONCATENATE(AK81+1911,"/2/1")))</f>
        <v>57377</v>
      </c>
      <c r="AT81" s="224" t="e">
        <f t="shared" si="108"/>
        <v>#VALUE!</v>
      </c>
      <c r="AU81" s="224" t="e">
        <f t="shared" si="109"/>
        <v>#VALUE!</v>
      </c>
      <c r="AV81" s="224" t="e">
        <f t="shared" si="89"/>
        <v>#VALUE!</v>
      </c>
      <c r="AW81" s="224" t="e">
        <f t="shared" si="110"/>
        <v>#VALUE!</v>
      </c>
      <c r="AX81" s="224" t="b">
        <f t="shared" si="111"/>
        <v>1</v>
      </c>
      <c r="AY81" s="224" t="e">
        <f t="shared" si="112"/>
        <v>#VALUE!</v>
      </c>
      <c r="AZ81" s="224" t="b">
        <f t="shared" si="113"/>
        <v>1</v>
      </c>
      <c r="BA81" s="224" t="e">
        <f t="shared" si="90"/>
        <v>#VALUE!</v>
      </c>
      <c r="BB81" s="224" t="e">
        <f t="shared" si="91"/>
        <v>#VALUE!</v>
      </c>
      <c r="BC81" s="224" t="e">
        <f t="shared" si="92"/>
        <v>#VALUE!</v>
      </c>
      <c r="BD81" s="225" t="e">
        <f t="shared" si="114"/>
        <v>#VALUE!</v>
      </c>
      <c r="BE81" s="225" t="e">
        <f t="shared" si="115"/>
        <v>#VALUE!</v>
      </c>
      <c r="BF81" s="225" t="e">
        <f t="shared" si="116"/>
        <v>#VALUE!</v>
      </c>
      <c r="BG81" s="226" t="e">
        <f t="shared" si="117"/>
        <v>#VALUE!</v>
      </c>
      <c r="BH81" s="227" t="e">
        <f t="shared" si="118"/>
        <v>#VALUE!</v>
      </c>
    </row>
    <row r="82" spans="1:60" x14ac:dyDescent="0.25">
      <c r="A82" s="216" t="str">
        <f t="shared" si="120"/>
        <v/>
      </c>
      <c r="B82" s="217" t="str">
        <f t="shared" si="121"/>
        <v/>
      </c>
      <c r="C82" s="217" t="str">
        <f t="shared" si="122"/>
        <v/>
      </c>
      <c r="D82" s="217" t="str">
        <f t="shared" si="123"/>
        <v/>
      </c>
      <c r="E82" s="217" t="str">
        <f t="shared" si="124"/>
        <v/>
      </c>
      <c r="F82" s="217" t="str">
        <f t="shared" si="125"/>
        <v/>
      </c>
      <c r="G82" s="217" t="str">
        <f t="shared" si="126"/>
        <v/>
      </c>
      <c r="H82" s="218" t="str">
        <f t="shared" si="127"/>
        <v/>
      </c>
      <c r="I82" s="219" t="str">
        <f t="shared" si="128"/>
        <v/>
      </c>
      <c r="J82" s="219" t="str">
        <f t="shared" si="129"/>
        <v/>
      </c>
      <c r="K82" s="206" t="str">
        <f t="shared" si="130"/>
        <v/>
      </c>
      <c r="L82" s="272" t="str">
        <f t="shared" si="131"/>
        <v/>
      </c>
      <c r="M82" s="216">
        <f>IF(最早可退休日期!$D$2&lt;&gt;"職員",Y84,IF(AND($AS$3&lt;$AS$2,$AS$4&lt;$AS$2),Y84,IF($AS$3&lt;$AS$2,Y83,Y82)))</f>
        <v>147</v>
      </c>
      <c r="N82" s="217" t="str">
        <f>IF(最早可退休日期!$D$2&lt;&gt;"職員",Z84,IF(AND($AS$3&lt;$AS$2,$AS$4&lt;$AS$2),Z84,IF($AS$3&lt;$AS$2,Z83,Z82)))</f>
        <v>無</v>
      </c>
      <c r="O82" s="217">
        <f>IF(最早可退休日期!$D$2&lt;&gt;"職員",AA84,IF(AND($AS$3&lt;$AS$2,$AS$4&lt;$AS$2),AA84,IF($AS$3&lt;$AS$2,AA83,AA82)))</f>
        <v>58</v>
      </c>
      <c r="P82" s="217">
        <f>IF(最早可退休日期!$D$2&lt;&gt;"職員",AB84,IF(AND($AS$3&lt;$AS$2,$AS$4&lt;$AS$2),AB84,IF($AS$3&lt;$AS$2,AB83,AB82)))</f>
        <v>55</v>
      </c>
      <c r="Q82" s="217">
        <f>IF(最早可退休日期!$D$2&lt;&gt;"職員",AC84,IF(AND($AS$3&lt;$AS$2,$AS$4&lt;$AS$2),AC84,IF($AS$3&lt;$AS$2,AC83,AC82)))</f>
        <v>147</v>
      </c>
      <c r="R82" s="217" t="e">
        <f>IF(最早可退休日期!$D$2&lt;&gt;"職員",AD84,IF(AND($AS$3&lt;$AS$2,$AS$4&lt;$AS$2),AD84,IF($AS$3&lt;$AS$2,AD83,AD82)))</f>
        <v>#VALUE!</v>
      </c>
      <c r="S82" s="217" t="e">
        <f>IF(最早可退休日期!$D$2&lt;&gt;"職員",AE84,IF(AND($AS$3&lt;$AS$2,$AS$4&lt;$AS$2),AE84,IF($AS$3&lt;$AS$2,AE83,AE82)))</f>
        <v>#VALUE!</v>
      </c>
      <c r="T82" s="218" t="str">
        <f>IF(最早可退休日期!$D$2&lt;&gt;"職員",AF84,IF(AND($AS$3&lt;$AS$2,$AS$4&lt;$AS$2),AF84,IF($AS$3&lt;$AS$2,AF83,AF82)))</f>
        <v>147年8月1日</v>
      </c>
      <c r="U82" s="219" t="e">
        <f>IF(最早可退休日期!$D$2&lt;&gt;"職員",AG84,IF(AND($AS$3&lt;$AS$2,$AS$4&lt;$AS$2),AG84,IF($AS$3&lt;$AS$2,AG83,AG82)))</f>
        <v>#VALUE!</v>
      </c>
      <c r="V82" s="219" t="e">
        <f>IF(最早可退休日期!$D$2&lt;&gt;"職員",AH84,IF(AND($AS$3&lt;$AS$2,$AS$4&lt;$AS$2),AH84,IF($AS$3&lt;$AS$2,AH83,AH82)))</f>
        <v>#VALUE!</v>
      </c>
      <c r="W82" s="206" t="e">
        <f>IF(最早可退休日期!$D$2&lt;&gt;"職員",AI84,IF(AND($AS$3&lt;$AS$2,$AS$4&lt;$AS$2),AI84,IF($AS$3&lt;$AS$2,AI83,AI82)))</f>
        <v>#VALUE!</v>
      </c>
      <c r="X82" s="207" t="e">
        <f>IF(最早可退休日期!$D$2&lt;&gt;"職員",AJ84,IF(AND($AS$3&lt;$AS$2,$AS$4&lt;$AS$2),AJ84,IF($AS$3&lt;$AS$2,AJ83,AJ82)))</f>
        <v>#VALUE!</v>
      </c>
      <c r="Y82" s="217">
        <f t="shared" si="93"/>
        <v>146</v>
      </c>
      <c r="Z82" s="217" t="str">
        <f t="shared" si="119"/>
        <v>無</v>
      </c>
      <c r="AA82" s="217">
        <f>IF(最早退休日期!$B$1="中等以下教師",58,IF(Y82&gt;=122,65,IF(Y82&lt;107,50,VLOOKUP(Y82,Legal_Year,3,0))))</f>
        <v>58</v>
      </c>
      <c r="AB82" s="217">
        <f t="shared" si="87"/>
        <v>55</v>
      </c>
      <c r="AC82" s="217">
        <f t="shared" si="94"/>
        <v>146</v>
      </c>
      <c r="AD82" s="217" t="e">
        <f t="shared" si="95"/>
        <v>#VALUE!</v>
      </c>
      <c r="AE82" s="217" t="e">
        <f t="shared" si="88"/>
        <v>#VALUE!</v>
      </c>
      <c r="AF82" s="227" t="str">
        <f t="shared" si="96"/>
        <v>146年8月1日</v>
      </c>
      <c r="AG82" s="219" t="e">
        <f t="shared" si="97"/>
        <v>#VALUE!</v>
      </c>
      <c r="AH82" s="219" t="e">
        <f t="shared" si="98"/>
        <v>#VALUE!</v>
      </c>
      <c r="AI82" s="206" t="e">
        <f t="shared" si="99"/>
        <v>#VALUE!</v>
      </c>
      <c r="AJ82" s="207" t="e">
        <f t="shared" si="100"/>
        <v>#VALUE!</v>
      </c>
      <c r="AK82" s="217">
        <f t="shared" si="132"/>
        <v>146</v>
      </c>
      <c r="AL82" s="217" t="e">
        <f t="shared" si="101"/>
        <v>#VALUE!</v>
      </c>
      <c r="AM82" s="220" t="e">
        <f t="shared" si="102"/>
        <v>#VALUE!</v>
      </c>
      <c r="AN82" s="220" t="e">
        <f t="shared" si="103"/>
        <v>#VALUE!</v>
      </c>
      <c r="AO82" s="220" t="e">
        <f t="shared" si="104"/>
        <v>#VALUE!</v>
      </c>
      <c r="AP82" s="221" t="e">
        <f t="shared" si="105"/>
        <v>#VALUE!</v>
      </c>
      <c r="AQ82" s="221" t="e">
        <f t="shared" si="106"/>
        <v>#VALUE!</v>
      </c>
      <c r="AR82" s="222" t="e">
        <f t="shared" si="107"/>
        <v>#VALUE!</v>
      </c>
      <c r="AS82" s="223">
        <f>IF(最早退休日期!$B$2="職員",MAX(IF(ISERROR(DATEVALUE(CONCATENATE(AK82+1911,"/",$AA$1000,"/",$AB$1000))),DATEVALUE(CONCATENATE(AK82+1911,"/",3,"/",1)),DATEVALUE(CONCATENATE(AK82+1911,"/",$AA$1000,"/",$AB$1000))),AR82),DATEVALUE(CONCATENATE(AK82+1911,"/8/1")))</f>
        <v>57558</v>
      </c>
      <c r="AT82" s="224" t="e">
        <f t="shared" si="108"/>
        <v>#VALUE!</v>
      </c>
      <c r="AU82" s="224" t="e">
        <f t="shared" si="109"/>
        <v>#VALUE!</v>
      </c>
      <c r="AV82" s="224" t="e">
        <f t="shared" si="89"/>
        <v>#VALUE!</v>
      </c>
      <c r="AW82" s="224" t="e">
        <f t="shared" si="110"/>
        <v>#VALUE!</v>
      </c>
      <c r="AX82" s="224" t="b">
        <f t="shared" si="111"/>
        <v>1</v>
      </c>
      <c r="AY82" s="224" t="e">
        <f t="shared" si="112"/>
        <v>#VALUE!</v>
      </c>
      <c r="AZ82" s="224" t="b">
        <f t="shared" si="113"/>
        <v>1</v>
      </c>
      <c r="BA82" s="224" t="e">
        <f t="shared" si="90"/>
        <v>#VALUE!</v>
      </c>
      <c r="BB82" s="224" t="e">
        <f t="shared" si="91"/>
        <v>#VALUE!</v>
      </c>
      <c r="BC82" s="224" t="e">
        <f t="shared" si="92"/>
        <v>#VALUE!</v>
      </c>
      <c r="BD82" s="225" t="e">
        <f t="shared" si="114"/>
        <v>#VALUE!</v>
      </c>
      <c r="BE82" s="225" t="e">
        <f t="shared" si="115"/>
        <v>#VALUE!</v>
      </c>
      <c r="BF82" s="225" t="e">
        <f t="shared" si="116"/>
        <v>#VALUE!</v>
      </c>
      <c r="BG82" s="226" t="e">
        <f t="shared" si="117"/>
        <v>#VALUE!</v>
      </c>
      <c r="BH82" s="227" t="e">
        <f t="shared" si="118"/>
        <v>#VALUE!</v>
      </c>
    </row>
    <row r="83" spans="1:60" x14ac:dyDescent="0.25">
      <c r="A83" s="216" t="str">
        <f t="shared" si="120"/>
        <v/>
      </c>
      <c r="B83" s="217" t="str">
        <f t="shared" si="121"/>
        <v/>
      </c>
      <c r="C83" s="217" t="str">
        <f t="shared" si="122"/>
        <v/>
      </c>
      <c r="D83" s="217" t="str">
        <f t="shared" si="123"/>
        <v/>
      </c>
      <c r="E83" s="217" t="str">
        <f t="shared" si="124"/>
        <v/>
      </c>
      <c r="F83" s="217" t="str">
        <f t="shared" si="125"/>
        <v/>
      </c>
      <c r="G83" s="217" t="str">
        <f t="shared" si="126"/>
        <v/>
      </c>
      <c r="H83" s="218" t="str">
        <f t="shared" si="127"/>
        <v/>
      </c>
      <c r="I83" s="219" t="str">
        <f t="shared" si="128"/>
        <v/>
      </c>
      <c r="J83" s="219" t="str">
        <f t="shared" si="129"/>
        <v/>
      </c>
      <c r="K83" s="206" t="str">
        <f t="shared" si="130"/>
        <v/>
      </c>
      <c r="L83" s="272" t="str">
        <f t="shared" si="131"/>
        <v/>
      </c>
      <c r="M83" s="217">
        <f>IF(最早可退休日期!$D$2&lt;&gt;"職員",Y85,IF(AND($AS$3&lt;$AS$2,$AS$4&lt;$AS$2),Y85,IF($AS$3&lt;$AS$2,Y84,Y83)))</f>
        <v>0</v>
      </c>
      <c r="N83" s="217">
        <f>IF(最早可退休日期!$D$2&lt;&gt;"職員",Z85,IF(AND($AS$3&lt;$AS$2,$AS$4&lt;$AS$2),Z85,IF($AS$3&lt;$AS$2,Z84,Z83)))</f>
        <v>0</v>
      </c>
      <c r="O83" s="217">
        <f>IF(最早可退休日期!$D$2&lt;&gt;"職員",AA85,IF(AND($AS$3&lt;$AS$2,$AS$4&lt;$AS$2),AA85,IF($AS$3&lt;$AS$2,AA84,AA83)))</f>
        <v>0</v>
      </c>
      <c r="P83" s="217">
        <f>IF(最早可退休日期!$D$2&lt;&gt;"職員",AB85,IF(AND($AS$3&lt;$AS$2,$AS$4&lt;$AS$2),AB85,IF($AS$3&lt;$AS$2,AB84,AB83)))</f>
        <v>0</v>
      </c>
      <c r="Q83" s="217">
        <f>IF(最早可退休日期!$D$2&lt;&gt;"職員",AC85,IF(AND($AS$3&lt;$AS$2,$AS$4&lt;$AS$2),AC85,IF($AS$3&lt;$AS$2,AC84,AC83)))</f>
        <v>0</v>
      </c>
      <c r="R83" s="217">
        <f>IF(最早可退休日期!$D$2&lt;&gt;"職員",AD85,IF(AND($AS$3&lt;$AS$2,$AS$4&lt;$AS$2),AD85,IF($AS$3&lt;$AS$2,AD84,AD83)))</f>
        <v>0</v>
      </c>
      <c r="S83" s="217">
        <f>IF(最早可退休日期!$D$2&lt;&gt;"職員",AE85,IF(AND($AS$3&lt;$AS$2,$AS$4&lt;$AS$2),AE85,IF($AS$3&lt;$AS$2,AE84,AE83)))</f>
        <v>0</v>
      </c>
      <c r="T83" s="227">
        <f>IF(最早可退休日期!$D$2&lt;&gt;"職員",AF85,IF(AND($AS$3&lt;$AS$2,$AS$4&lt;$AS$2),AF85,IF($AS$3&lt;$AS$2,AF84,AF83)))</f>
        <v>0</v>
      </c>
      <c r="U83" s="219">
        <f>IF(最早可退休日期!$D$2&lt;&gt;"職員",AG85,IF(AND($AS$3&lt;$AS$2,$AS$4&lt;$AS$2),AG85,IF($AS$3&lt;$AS$2,AG84,AG83)))</f>
        <v>0</v>
      </c>
      <c r="V83" s="219">
        <f>IF(最早可退休日期!$D$2&lt;&gt;"職員",AH85,IF(AND($AS$3&lt;$AS$2,$AS$4&lt;$AS$2),AH85,IF($AS$3&lt;$AS$2,AH84,AH83)))</f>
        <v>0</v>
      </c>
      <c r="W83" s="206">
        <f>IF(最早可退休日期!$D$2&lt;&gt;"職員",AI85,IF(AND($AS$3&lt;$AS$2,$AS$4&lt;$AS$2),AI85,IF($AS$3&lt;$AS$2,AI84,AI83)))</f>
        <v>0</v>
      </c>
      <c r="X83" s="207">
        <f>IF(最早可退休日期!$D$2&lt;&gt;"職員",AJ85,IF(AND($AS$3&lt;$AS$2,$AS$4&lt;$AS$2),AJ85,IF($AS$3&lt;$AS$2,AJ84,AJ83)))</f>
        <v>0</v>
      </c>
      <c r="Y83" s="217">
        <f t="shared" si="93"/>
        <v>147</v>
      </c>
      <c r="Z83" s="217" t="str">
        <f t="shared" si="119"/>
        <v>無</v>
      </c>
      <c r="AA83" s="217">
        <f>IF(最早退休日期!$B$1="中等以下教師",58,IF(Y83&gt;=122,65,IF(Y83&lt;107,50,VLOOKUP(Y83,Legal_Year,3,0))))</f>
        <v>58</v>
      </c>
      <c r="AB83" s="217">
        <f t="shared" si="87"/>
        <v>55</v>
      </c>
      <c r="AC83" s="217">
        <f t="shared" si="94"/>
        <v>147</v>
      </c>
      <c r="AD83" s="217" t="e">
        <f t="shared" si="95"/>
        <v>#VALUE!</v>
      </c>
      <c r="AE83" s="217" t="e">
        <f t="shared" si="88"/>
        <v>#VALUE!</v>
      </c>
      <c r="AF83" s="227" t="str">
        <f t="shared" si="96"/>
        <v>147年2月1日</v>
      </c>
      <c r="AG83" s="219" t="e">
        <f t="shared" si="97"/>
        <v>#VALUE!</v>
      </c>
      <c r="AH83" s="219" t="e">
        <f t="shared" si="98"/>
        <v>#VALUE!</v>
      </c>
      <c r="AI83" s="206" t="e">
        <f t="shared" si="99"/>
        <v>#VALUE!</v>
      </c>
      <c r="AJ83" s="207" t="e">
        <f t="shared" si="100"/>
        <v>#VALUE!</v>
      </c>
      <c r="AK83" s="217">
        <f t="shared" si="132"/>
        <v>147</v>
      </c>
      <c r="AL83" s="217" t="e">
        <f t="shared" si="101"/>
        <v>#VALUE!</v>
      </c>
      <c r="AM83" s="220" t="e">
        <f t="shared" si="102"/>
        <v>#VALUE!</v>
      </c>
      <c r="AN83" s="220" t="e">
        <f t="shared" si="103"/>
        <v>#VALUE!</v>
      </c>
      <c r="AO83" s="220" t="e">
        <f t="shared" si="104"/>
        <v>#VALUE!</v>
      </c>
      <c r="AP83" s="221" t="e">
        <f t="shared" si="105"/>
        <v>#VALUE!</v>
      </c>
      <c r="AQ83" s="221" t="e">
        <f t="shared" si="106"/>
        <v>#VALUE!</v>
      </c>
      <c r="AR83" s="222" t="e">
        <f t="shared" si="107"/>
        <v>#VALUE!</v>
      </c>
      <c r="AS83" s="223">
        <f>IF(最早退休日期!$B$2="職員",MIN(IF(ISERROR(DATEVALUE(CONCATENATE(AK83+1911,"/",$AA$1000,"/",$AB$1000))),DATEVALUE(CONCATENATE(AK83+1911,"/",3,"/",1)),DATEVALUE(CONCATENATE(AK83+1911,"/",$AA$1000,"/",$AB$1000))),AR83),DATEVALUE(CONCATENATE(AK83+1911,"/2/1")))</f>
        <v>57742</v>
      </c>
      <c r="AT83" s="224" t="e">
        <f t="shared" si="108"/>
        <v>#VALUE!</v>
      </c>
      <c r="AU83" s="224" t="e">
        <f t="shared" si="109"/>
        <v>#VALUE!</v>
      </c>
      <c r="AV83" s="224" t="e">
        <f t="shared" si="89"/>
        <v>#VALUE!</v>
      </c>
      <c r="AW83" s="224" t="e">
        <f t="shared" si="110"/>
        <v>#VALUE!</v>
      </c>
      <c r="AX83" s="224" t="b">
        <f t="shared" si="111"/>
        <v>1</v>
      </c>
      <c r="AY83" s="224" t="e">
        <f t="shared" si="112"/>
        <v>#VALUE!</v>
      </c>
      <c r="AZ83" s="224" t="b">
        <f t="shared" si="113"/>
        <v>1</v>
      </c>
      <c r="BA83" s="224" t="e">
        <f t="shared" si="90"/>
        <v>#VALUE!</v>
      </c>
      <c r="BB83" s="224" t="e">
        <f t="shared" si="91"/>
        <v>#VALUE!</v>
      </c>
      <c r="BC83" s="224" t="e">
        <f t="shared" si="92"/>
        <v>#VALUE!</v>
      </c>
      <c r="BD83" s="225" t="e">
        <f t="shared" si="114"/>
        <v>#VALUE!</v>
      </c>
      <c r="BE83" s="225" t="e">
        <f t="shared" si="115"/>
        <v>#VALUE!</v>
      </c>
      <c r="BF83" s="225" t="e">
        <f t="shared" si="116"/>
        <v>#VALUE!</v>
      </c>
      <c r="BG83" s="226" t="e">
        <f t="shared" si="117"/>
        <v>#VALUE!</v>
      </c>
      <c r="BH83" s="227" t="e">
        <f t="shared" si="118"/>
        <v>#VALUE!</v>
      </c>
    </row>
    <row r="84" spans="1:60" x14ac:dyDescent="0.25">
      <c r="A84" s="216" t="str">
        <f t="shared" si="120"/>
        <v/>
      </c>
      <c r="B84" s="217" t="str">
        <f t="shared" si="121"/>
        <v/>
      </c>
      <c r="C84" s="217" t="str">
        <f t="shared" si="122"/>
        <v/>
      </c>
      <c r="D84" s="217" t="str">
        <f t="shared" si="123"/>
        <v/>
      </c>
      <c r="E84" s="217" t="str">
        <f t="shared" si="124"/>
        <v/>
      </c>
      <c r="F84" s="217" t="str">
        <f t="shared" si="125"/>
        <v/>
      </c>
      <c r="G84" s="217" t="str">
        <f t="shared" si="126"/>
        <v/>
      </c>
      <c r="H84" s="218" t="str">
        <f t="shared" si="127"/>
        <v/>
      </c>
      <c r="I84" s="219" t="str">
        <f t="shared" si="128"/>
        <v/>
      </c>
      <c r="J84" s="219" t="str">
        <f t="shared" si="129"/>
        <v/>
      </c>
      <c r="K84" s="206" t="str">
        <f t="shared" si="130"/>
        <v/>
      </c>
      <c r="L84" s="272" t="str">
        <f t="shared" si="131"/>
        <v/>
      </c>
      <c r="M84" s="217">
        <f>IF(最早可退休日期!$D$2&lt;&gt;"職員",Y86,IF(AND($AS$3&lt;$AS$2,$AS$4&lt;$AS$2),Y86,IF($AS$3&lt;$AS$2,Y85,Y84)))</f>
        <v>0</v>
      </c>
      <c r="N84" s="217">
        <f>IF(最早可退休日期!$D$2&lt;&gt;"職員",Z86,IF(AND($AS$3&lt;$AS$2,$AS$4&lt;$AS$2),Z86,IF($AS$3&lt;$AS$2,Z85,Z84)))</f>
        <v>0</v>
      </c>
      <c r="O84" s="217">
        <f>IF(最早可退休日期!$D$2&lt;&gt;"職員",AA86,IF(AND($AS$3&lt;$AS$2,$AS$4&lt;$AS$2),AA86,IF($AS$3&lt;$AS$2,AA85,AA84)))</f>
        <v>0</v>
      </c>
      <c r="P84" s="217">
        <f>IF(最早可退休日期!$D$2&lt;&gt;"職員",AB86,IF(AND($AS$3&lt;$AS$2,$AS$4&lt;$AS$2),AB86,IF($AS$3&lt;$AS$2,AB85,AB84)))</f>
        <v>0</v>
      </c>
      <c r="Q84" s="217">
        <f>IF(最早可退休日期!$D$2&lt;&gt;"職員",AC86,IF(AND($AS$3&lt;$AS$2,$AS$4&lt;$AS$2),AC86,IF($AS$3&lt;$AS$2,AC85,AC84)))</f>
        <v>0</v>
      </c>
      <c r="R84" s="217">
        <f>IF(最早可退休日期!$D$2&lt;&gt;"職員",AD86,IF(AND($AS$3&lt;$AS$2,$AS$4&lt;$AS$2),AD86,IF($AS$3&lt;$AS$2,AD85,AD84)))</f>
        <v>0</v>
      </c>
      <c r="S84" s="217">
        <f>IF(最早可退休日期!$D$2&lt;&gt;"職員",AE86,IF(AND($AS$3&lt;$AS$2,$AS$4&lt;$AS$2),AE86,IF($AS$3&lt;$AS$2,AE85,AE84)))</f>
        <v>0</v>
      </c>
      <c r="T84" s="227">
        <f>IF(最早可退休日期!$D$2&lt;&gt;"職員",AF86,IF(AND($AS$3&lt;$AS$2,$AS$4&lt;$AS$2),AF86,IF($AS$3&lt;$AS$2,AF85,AF84)))</f>
        <v>0</v>
      </c>
      <c r="U84" s="219">
        <f>IF(最早可退休日期!$D$2&lt;&gt;"職員",AG86,IF(AND($AS$3&lt;$AS$2,$AS$4&lt;$AS$2),AG86,IF($AS$3&lt;$AS$2,AG85,AG84)))</f>
        <v>0</v>
      </c>
      <c r="V84" s="219">
        <f>IF(最早可退休日期!$D$2&lt;&gt;"職員",AH86,IF(AND($AS$3&lt;$AS$2,$AS$4&lt;$AS$2),AH86,IF($AS$3&lt;$AS$2,AH85,AH84)))</f>
        <v>0</v>
      </c>
      <c r="W84" s="206">
        <f>IF(最早可退休日期!$D$2&lt;&gt;"職員",AI86,IF(AND($AS$3&lt;$AS$2,$AS$4&lt;$AS$2),AI86,IF($AS$3&lt;$AS$2,AI85,AI84)))</f>
        <v>0</v>
      </c>
      <c r="X84" s="272">
        <f>IF(最早可退休日期!$D$2&lt;&gt;"職員",AJ86,IF(AND($AS$3&lt;$AS$2,$AS$4&lt;$AS$2),AJ86,IF($AS$3&lt;$AS$2,AJ85,AJ84)))</f>
        <v>0</v>
      </c>
      <c r="Y84" s="228">
        <f t="shared" si="93"/>
        <v>147</v>
      </c>
      <c r="Z84" s="228" t="str">
        <f t="shared" si="119"/>
        <v>無</v>
      </c>
      <c r="AA84" s="228">
        <f>IF(最早退休日期!$B$1="中等以下教師",58,IF(Y84&gt;=122,65,IF(Y84&lt;107,50,VLOOKUP(Y84,Legal_Year,3,0))))</f>
        <v>58</v>
      </c>
      <c r="AB84" s="228">
        <f t="shared" si="87"/>
        <v>55</v>
      </c>
      <c r="AC84" s="228">
        <f t="shared" si="94"/>
        <v>147</v>
      </c>
      <c r="AD84" s="228" t="e">
        <f t="shared" si="95"/>
        <v>#VALUE!</v>
      </c>
      <c r="AE84" s="228" t="e">
        <f t="shared" si="88"/>
        <v>#VALUE!</v>
      </c>
      <c r="AF84" s="229" t="str">
        <f t="shared" si="96"/>
        <v>147年8月1日</v>
      </c>
      <c r="AG84" s="230" t="e">
        <f t="shared" si="97"/>
        <v>#VALUE!</v>
      </c>
      <c r="AH84" s="230" t="e">
        <f t="shared" si="98"/>
        <v>#VALUE!</v>
      </c>
      <c r="AI84" s="231" t="e">
        <f t="shared" si="99"/>
        <v>#VALUE!</v>
      </c>
      <c r="AJ84" s="232" t="e">
        <f t="shared" si="100"/>
        <v>#VALUE!</v>
      </c>
      <c r="AK84" s="228">
        <f t="shared" si="132"/>
        <v>147</v>
      </c>
      <c r="AL84" s="228" t="e">
        <f t="shared" si="101"/>
        <v>#VALUE!</v>
      </c>
      <c r="AM84" s="233" t="e">
        <f t="shared" si="102"/>
        <v>#VALUE!</v>
      </c>
      <c r="AN84" s="233" t="e">
        <f t="shared" si="103"/>
        <v>#VALUE!</v>
      </c>
      <c r="AO84" s="233" t="e">
        <f t="shared" si="104"/>
        <v>#VALUE!</v>
      </c>
      <c r="AP84" s="234" t="e">
        <f t="shared" si="105"/>
        <v>#VALUE!</v>
      </c>
      <c r="AQ84" s="234" t="e">
        <f t="shared" si="106"/>
        <v>#VALUE!</v>
      </c>
      <c r="AR84" s="235" t="e">
        <f t="shared" si="107"/>
        <v>#VALUE!</v>
      </c>
      <c r="AS84" s="236">
        <f>IF(最早退休日期!$B$2="職員",MAX(IF(ISERROR(DATEVALUE(CONCATENATE(AK84+1911,"/",$AA$1000,"/",$AB$1000))),DATEVALUE(CONCATENATE(AK84+1911,"/",3,"/",1)),DATEVALUE(CONCATENATE(AK84+1911,"/",$AA$1000,"/",$AB$1000))),AR84),DATEVALUE(CONCATENATE(AK84+1911,"/8/1")))</f>
        <v>57923</v>
      </c>
      <c r="AT84" s="237" t="e">
        <f t="shared" si="108"/>
        <v>#VALUE!</v>
      </c>
      <c r="AU84" s="237" t="e">
        <f t="shared" si="109"/>
        <v>#VALUE!</v>
      </c>
      <c r="AV84" s="237" t="e">
        <f t="shared" si="89"/>
        <v>#VALUE!</v>
      </c>
      <c r="AW84" s="237" t="e">
        <f t="shared" si="110"/>
        <v>#VALUE!</v>
      </c>
      <c r="AX84" s="237" t="b">
        <f t="shared" si="111"/>
        <v>1</v>
      </c>
      <c r="AY84" s="237" t="e">
        <f t="shared" si="112"/>
        <v>#VALUE!</v>
      </c>
      <c r="AZ84" s="237" t="b">
        <f t="shared" si="113"/>
        <v>1</v>
      </c>
      <c r="BA84" s="237" t="e">
        <f t="shared" si="90"/>
        <v>#VALUE!</v>
      </c>
      <c r="BB84" s="237" t="e">
        <f t="shared" si="91"/>
        <v>#VALUE!</v>
      </c>
      <c r="BC84" s="237" t="e">
        <f t="shared" si="92"/>
        <v>#VALUE!</v>
      </c>
      <c r="BD84" s="238" t="e">
        <f t="shared" si="114"/>
        <v>#VALUE!</v>
      </c>
      <c r="BE84" s="238" t="e">
        <f t="shared" si="115"/>
        <v>#VALUE!</v>
      </c>
      <c r="BF84" s="238" t="e">
        <f t="shared" si="116"/>
        <v>#VALUE!</v>
      </c>
      <c r="BG84" s="239" t="e">
        <f t="shared" si="117"/>
        <v>#VALUE!</v>
      </c>
      <c r="BH84" s="229" t="e">
        <f t="shared" si="118"/>
        <v>#VALUE!</v>
      </c>
    </row>
    <row r="85" spans="1:60" x14ac:dyDescent="0.25">
      <c r="A85" s="216" t="str">
        <f t="shared" si="120"/>
        <v/>
      </c>
      <c r="B85" s="217" t="str">
        <f t="shared" si="121"/>
        <v/>
      </c>
      <c r="C85" s="217" t="str">
        <f t="shared" si="122"/>
        <v/>
      </c>
      <c r="D85" s="217" t="str">
        <f t="shared" si="123"/>
        <v/>
      </c>
      <c r="E85" s="217" t="str">
        <f t="shared" si="124"/>
        <v/>
      </c>
      <c r="F85" s="217" t="str">
        <f t="shared" si="125"/>
        <v/>
      </c>
      <c r="G85" s="217" t="str">
        <f t="shared" si="126"/>
        <v/>
      </c>
      <c r="H85" s="218" t="str">
        <f t="shared" si="127"/>
        <v/>
      </c>
      <c r="I85" s="219" t="str">
        <f t="shared" si="128"/>
        <v/>
      </c>
      <c r="J85" s="219" t="str">
        <f t="shared" si="129"/>
        <v/>
      </c>
      <c r="K85" s="206" t="str">
        <f t="shared" si="130"/>
        <v/>
      </c>
      <c r="L85" s="272" t="str">
        <f t="shared" si="131"/>
        <v/>
      </c>
    </row>
    <row r="86" spans="1:60" x14ac:dyDescent="0.25">
      <c r="A86" s="216" t="str">
        <f t="shared" si="120"/>
        <v/>
      </c>
      <c r="B86" s="217" t="str">
        <f t="shared" si="121"/>
        <v/>
      </c>
      <c r="C86" s="217" t="str">
        <f t="shared" si="122"/>
        <v/>
      </c>
      <c r="D86" s="217" t="str">
        <f t="shared" si="123"/>
        <v/>
      </c>
      <c r="E86" s="217" t="str">
        <f t="shared" si="124"/>
        <v/>
      </c>
      <c r="F86" s="217" t="str">
        <f t="shared" si="125"/>
        <v/>
      </c>
      <c r="G86" s="217" t="str">
        <f t="shared" si="126"/>
        <v/>
      </c>
      <c r="H86" s="218" t="str">
        <f t="shared" si="127"/>
        <v/>
      </c>
      <c r="I86" s="219" t="str">
        <f t="shared" si="128"/>
        <v/>
      </c>
      <c r="J86" s="219" t="str">
        <f t="shared" si="129"/>
        <v/>
      </c>
      <c r="K86" s="206" t="str">
        <f t="shared" si="130"/>
        <v/>
      </c>
      <c r="L86" s="272" t="str">
        <f t="shared" si="131"/>
        <v/>
      </c>
    </row>
    <row r="999" spans="25:59" ht="31.5" x14ac:dyDescent="0.25">
      <c r="Y999" s="240"/>
      <c r="Z999" s="269" t="s">
        <v>0</v>
      </c>
      <c r="AA999" s="192" t="s">
        <v>1</v>
      </c>
      <c r="AB999" s="192" t="s">
        <v>151</v>
      </c>
      <c r="AC999" s="191" t="s">
        <v>174</v>
      </c>
      <c r="AD999" s="191" t="s">
        <v>161</v>
      </c>
      <c r="AS999" s="241"/>
    </row>
    <row r="1000" spans="25:59" x14ac:dyDescent="0.25">
      <c r="Y1000" s="240"/>
      <c r="Z1000" s="242">
        <f>最早退休日期!B7</f>
        <v>0</v>
      </c>
      <c r="AA1000" s="242">
        <f>最早退休日期!C7</f>
        <v>0</v>
      </c>
      <c r="AB1000" s="242">
        <f>最早退休日期!D7</f>
        <v>0</v>
      </c>
      <c r="AC1000" s="192"/>
      <c r="AD1000" s="191"/>
      <c r="AF1000" s="243">
        <f>IF(ISERROR(DATEVALUE(CONCATENATE(Z1000+1911+66,"/",AA1000,"/",AB1000))),DATEVALUE(CONCATENATE(Z1000+1911+66,"/3/1")),DATEVALUE(CONCATENATE(Z1000+1911+66,"/",AA1000,"/",AB1000)))</f>
        <v>28185</v>
      </c>
      <c r="AS1000" s="241" t="s">
        <v>15</v>
      </c>
      <c r="AU1000" s="243"/>
      <c r="BA1000" s="188" t="e">
        <f>Earliest_Full&gt;=AF1000</f>
        <v>#VALUE!</v>
      </c>
    </row>
    <row r="1001" spans="25:59" ht="33.75" customHeight="1" x14ac:dyDescent="0.25">
      <c r="Y1001" s="244"/>
      <c r="Z1001" s="245" t="e">
        <f>最早退休日期!AB21</f>
        <v>#VALUE!</v>
      </c>
      <c r="AA1001" s="245" t="e">
        <f>最早退休日期!AC21</f>
        <v>#VALUE!</v>
      </c>
      <c r="AB1001" s="245" t="e">
        <f>最早退休日期!AD21</f>
        <v>#VALUE!</v>
      </c>
      <c r="AC1001" s="192"/>
      <c r="AD1001" s="191"/>
      <c r="AF1001" s="246"/>
      <c r="AG1001" s="246"/>
      <c r="AH1001" s="246"/>
      <c r="AI1001" s="246"/>
      <c r="AS1001" s="247" t="s">
        <v>156</v>
      </c>
      <c r="AW1001" s="246" t="s">
        <v>186</v>
      </c>
      <c r="AX1001" s="246"/>
      <c r="AY1001" s="246"/>
      <c r="AZ1001" s="246"/>
      <c r="BA1001" s="246" t="s">
        <v>187</v>
      </c>
      <c r="BB1001" s="246"/>
      <c r="BC1001" s="246" t="s">
        <v>188</v>
      </c>
      <c r="BD1001" s="246"/>
      <c r="BE1001" s="246"/>
      <c r="BF1001" s="246"/>
      <c r="BG1001" s="246"/>
    </row>
    <row r="1002" spans="25:59" x14ac:dyDescent="0.25">
      <c r="Y1002" s="248"/>
      <c r="Z1002" s="245" t="e">
        <f>IF(MAX(最早退休日期!R8:R15)&lt;最早退休日期!R7,YEAR(最早退休日期!R7),YEAR(MAX(最早退休日期!R8:R15)))-1911</f>
        <v>#VALUE!</v>
      </c>
      <c r="AA1002" s="245" t="e">
        <f>IF(MAX(最早退休日期!R8:R15)&lt;最早退休日期!R7,MONTH(最早退休日期!R7),MONTH(MAX(最早退休日期!R8:R15)))</f>
        <v>#VALUE!</v>
      </c>
      <c r="AB1002" s="245" t="e">
        <f>IF(MAX(最早退休日期!R8:R15)&lt;最早退休日期!R7,DAY(最早退休日期!R7),DAY(MAX(最早退休日期!R8:R15)))</f>
        <v>#VALUE!</v>
      </c>
      <c r="AC1002" s="249" t="e">
        <f>VLOOKUP(AA1002,Month_Days,2,0)+IF(AND(AA1002=2,MOD(Z1002,4)=1),1,0)</f>
        <v>#VALUE!</v>
      </c>
      <c r="AD1002" s="249" t="e">
        <f>IF(AB1002=1,0,AC1002-AB1002+1)</f>
        <v>#VALUE!</v>
      </c>
      <c r="AF1002" s="246"/>
      <c r="AG1002" s="246"/>
      <c r="AH1002" s="246"/>
      <c r="AI1002" s="246"/>
      <c r="AS1002" s="250" t="s">
        <v>157</v>
      </c>
      <c r="AW1002" s="246" t="s">
        <v>179</v>
      </c>
      <c r="AX1002" s="246"/>
      <c r="AY1002" s="246"/>
      <c r="AZ1002" s="246"/>
      <c r="BA1002" s="251" t="e">
        <f>IF(最早可退休日期!$D$2&lt;&gt;"職員",MIN(BD4:BD84),IF(MIN(BD2:BD84)=0,0,MAX(MIN(BD2:BD84),DATEVALUE("2018/7/1"))))</f>
        <v>#VALUE!</v>
      </c>
      <c r="BB1002" s="251"/>
      <c r="BC1002" s="246" t="e">
        <f>IF(Earliest_Full&gt;=$AF$1000,"",IF(Earliest_Full=0,"",CONCATENATE((YEAR(BA1002)&amp;"")-1911,"年",MONTH(BA1002),"月",DAY(BA1002),"日")))</f>
        <v>#VALUE!</v>
      </c>
      <c r="BD1002" s="246"/>
      <c r="BE1002" s="246"/>
      <c r="BF1002" s="246"/>
      <c r="BG1002" s="246"/>
    </row>
    <row r="1003" spans="25:59" x14ac:dyDescent="0.25">
      <c r="Y1003" s="240"/>
      <c r="Z1003" s="245" t="e">
        <f>最早退休日期!AB22</f>
        <v>#VALUE!</v>
      </c>
      <c r="AA1003" s="245" t="e">
        <f>最早退休日期!AC22</f>
        <v>#VALUE!</v>
      </c>
      <c r="AB1003" s="245" t="e">
        <f>最早退休日期!AD22</f>
        <v>#VALUE!</v>
      </c>
      <c r="AC1003" s="252"/>
      <c r="AD1003" s="252"/>
      <c r="AF1003" s="246"/>
      <c r="AG1003" s="246"/>
      <c r="AH1003" s="246"/>
      <c r="AI1003" s="246"/>
      <c r="AS1003" s="241" t="s">
        <v>176</v>
      </c>
      <c r="AW1003" s="246" t="s">
        <v>180</v>
      </c>
      <c r="AX1003" s="246"/>
      <c r="AY1003" s="246"/>
      <c r="AZ1003" s="246"/>
      <c r="BA1003" s="251" t="e">
        <f>IF(最早可退休日期!$D$2&lt;&gt;"職員",MIN(BE4:BE84),IF(MIN(BE2:BE84)=0,0,MAX(MIN(BE2:BE84),DATEVALUE("2018/7/1"))))</f>
        <v>#VALUE!</v>
      </c>
      <c r="BB1003" s="251"/>
      <c r="BC1003" s="246" t="e">
        <f>IF(Earliest_Reduction=0,"",CONCATENATE((YEAR(BA1003)&amp;"")-1911,"年",MONTH(BA1003),"月",DAY(BA1003),"日"))</f>
        <v>#VALUE!</v>
      </c>
      <c r="BD1003" s="246"/>
      <c r="BE1003" s="246"/>
      <c r="BF1003" s="246"/>
      <c r="BG1003" s="246"/>
    </row>
    <row r="1004" spans="25:59" ht="16.5" customHeight="1" x14ac:dyDescent="0.25">
      <c r="Y1004" s="253"/>
      <c r="Z1004" s="254" t="e">
        <f>Z1003+Z1002+IF(AA1002+AA1003-1&gt;12,1,IF(AA1002+AA1003-1=0,-1,0))</f>
        <v>#VALUE!</v>
      </c>
      <c r="AA1004" s="249" t="e">
        <f>IF(MOD(AA1003+AA1002-1,12)=0,12,MOD(AA1003+AA1002-1,12))</f>
        <v>#VALUE!</v>
      </c>
      <c r="AB1004" s="217"/>
      <c r="AC1004" s="249" t="e">
        <f>VLOOKUP(AA1004,Month_Days,2,0)+IF(AND(AA1004=2,MOD(Z1004,4)=1),1,0)</f>
        <v>#VALUE!</v>
      </c>
      <c r="AD1004" s="255" t="e">
        <f>DATEVALUE(CONCATENATE(Z1004+1911,"/",AA1004,"/",AC1004))</f>
        <v>#VALUE!</v>
      </c>
      <c r="AF1004" s="246"/>
      <c r="AG1004" s="256"/>
      <c r="AH1004" s="256"/>
      <c r="AI1004" s="256"/>
      <c r="AS1004" s="257" t="s">
        <v>152</v>
      </c>
      <c r="AW1004" s="256"/>
      <c r="AX1004" s="192"/>
      <c r="AY1004" s="192"/>
      <c r="AZ1004" s="192"/>
      <c r="BA1004" s="192"/>
      <c r="BB1004" s="256"/>
      <c r="BC1004" s="246"/>
      <c r="BD1004" s="256"/>
      <c r="BE1004" s="256"/>
      <c r="BF1004" s="256"/>
      <c r="BG1004" s="256"/>
    </row>
    <row r="1005" spans="25:59" ht="16.5" customHeight="1" x14ac:dyDescent="0.25">
      <c r="Y1005" s="253"/>
      <c r="Z1005" s="254" t="e">
        <f>Z1003+Z1002+IF(AA1002+AA1003&gt;12,1,0)</f>
        <v>#VALUE!</v>
      </c>
      <c r="AA1005" s="249" t="e">
        <f>IF(MOD(AA1003+AA1002,12)=0,12,MOD(AA1003+AA1002,12))</f>
        <v>#VALUE!</v>
      </c>
      <c r="AB1005" s="217"/>
      <c r="AC1005" s="249" t="e">
        <f>VLOOKUP(AA1005,Month_Days,2,0)+IF(AND(AA1005=2,MOD(Z1005,4)=1),1,0)</f>
        <v>#VALUE!</v>
      </c>
      <c r="AD1005" s="255" t="e">
        <f>DATEVALUE(CONCATENATE(Z1005+1911,"/",AA1005,"/",AC1005))</f>
        <v>#VALUE!</v>
      </c>
      <c r="AF1005" s="246"/>
      <c r="AG1005" s="256"/>
      <c r="AH1005" s="256"/>
      <c r="AI1005" s="256"/>
      <c r="AS1005" s="257"/>
      <c r="AW1005" s="256"/>
      <c r="AX1005" s="192"/>
      <c r="AY1005" s="192"/>
      <c r="AZ1005" s="192"/>
      <c r="BA1005" s="192"/>
      <c r="BB1005" s="256"/>
      <c r="BC1005" s="246"/>
      <c r="BD1005" s="256"/>
      <c r="BE1005" s="256"/>
      <c r="BF1005" s="256"/>
      <c r="BG1005" s="256"/>
    </row>
    <row r="1006" spans="25:59" ht="16.5" customHeight="1" x14ac:dyDescent="0.25">
      <c r="Y1006" s="257"/>
      <c r="Z1006" s="258" t="e">
        <f>IF(AND(AB1003&gt;=AD1002,AD1002&gt;0),AD1005+AB1003-AD1002,IF(AND(AB1003&gt;=AD1002,AD1002=0),MIN(AD1004+AB1003,AD1005),MIN(AD1004+(AC1002-AD1002)+AB1003,AD1005)))</f>
        <v>#VALUE!</v>
      </c>
      <c r="AA1006" s="259"/>
      <c r="AB1006" s="260"/>
      <c r="AC1006" s="260"/>
      <c r="AD1006" s="260"/>
      <c r="AF1006" s="246"/>
      <c r="AG1006" s="256"/>
      <c r="AH1006" s="256"/>
      <c r="AI1006" s="256"/>
      <c r="AS1006" s="257" t="s">
        <v>153</v>
      </c>
      <c r="AW1006" s="256"/>
      <c r="AX1006" s="192"/>
      <c r="AY1006" s="192"/>
      <c r="AZ1006" s="192"/>
      <c r="BA1006" s="192"/>
      <c r="BB1006" s="256"/>
      <c r="BC1006" s="246"/>
      <c r="BD1006" s="256"/>
      <c r="BE1006" s="256"/>
      <c r="BF1006" s="256"/>
      <c r="BG1006" s="256"/>
    </row>
    <row r="1007" spans="25:59" x14ac:dyDescent="0.25">
      <c r="Y1007" s="240"/>
      <c r="Z1007" s="261" t="e">
        <f>(YEAR(Z1006)&amp;"")-1911</f>
        <v>#VALUE!</v>
      </c>
      <c r="AA1007" s="262" t="e">
        <f>MONTH(Z1006)</f>
        <v>#VALUE!</v>
      </c>
      <c r="AB1007" s="262" t="e">
        <f>DAY(Z1006)</f>
        <v>#VALUE!</v>
      </c>
      <c r="AC1007" s="263" t="e">
        <f>VLOOKUP(AA1007,Month_Days,2,0)+IF(AND(AA1007=2,MOD(Z1007,4)=1),1,0)</f>
        <v>#VALUE!</v>
      </c>
      <c r="AD1007" s="263" t="e">
        <f>IF(AB1007=AC1007,0,AB1007)</f>
        <v>#VALUE!</v>
      </c>
      <c r="AF1007" s="246"/>
      <c r="AG1007" s="246"/>
      <c r="AH1007" s="246"/>
      <c r="AI1007" s="246"/>
      <c r="AS1007" s="241" t="s">
        <v>154</v>
      </c>
      <c r="AW1007" s="246" t="s">
        <v>181</v>
      </c>
      <c r="AX1007" s="246"/>
      <c r="AY1007" s="246"/>
      <c r="AZ1007" s="246"/>
      <c r="BA1007" s="251" t="e">
        <f>IF(最早可退休日期!$D$2&lt;&gt;"職員",MIN(BF4:BF84),IF(MIN(BF2:BF84)=0,0,MAX(MIN(BF2:BF84),DATEVALUE("2018/7/1"))))</f>
        <v>#VALUE!</v>
      </c>
      <c r="BB1007" s="251" t="e">
        <f>MIN(BH2:BH84)</f>
        <v>#VALUE!</v>
      </c>
      <c r="BC1007" s="246" t="e">
        <f>IF(Earliest_Extention=0,"",CONCATENATE((YEAR(BA1007)&amp;"")-1911,"年",MONTH(BA1007),"月",DAY(BA1007),"日可申請退休，需於",(YEAR(BB1007)&amp;"")-1911,"年",MONTH(BB1007),"月",DAY(BB1007),"日起領取全額月退休金"))</f>
        <v>#VALUE!</v>
      </c>
      <c r="BD1007" s="246"/>
      <c r="BE1007" s="246"/>
      <c r="BF1007" s="246"/>
      <c r="BG1007" s="246"/>
    </row>
    <row r="1008" spans="25:59" x14ac:dyDescent="0.25">
      <c r="AK1008" s="264"/>
      <c r="AL1008" s="264" t="s">
        <v>155</v>
      </c>
      <c r="AM1008" s="265" t="e">
        <f>Z1007-Z1002-1+ROUNDDOWN((AA1007-1+12-AA1002+COUNTIF(AD1002,0)+COUNTIF(AD1007,0)+IF(AND(AD1002&gt;0,AD1007&gt;0,AD1002+AD1007&gt;=AC1002),1,0))/12,0)</f>
        <v>#VALUE!</v>
      </c>
      <c r="AN1008" s="263" t="e">
        <f>MOD(AA1007-1+12-AA1002+COUNTIF(AD1002,0)+COUNTIF(AD1007,0)+IF(AND(AD1002&gt;0,AD1007&gt;0,AD1002+AD1007&gt;=AC1002),1,0),12)</f>
        <v>#VALUE!</v>
      </c>
      <c r="AO1008" s="263" t="e">
        <f>IF(AND(AD1002&gt;0,AD1007&gt;0,AD1002+AD1007&gt;=AC1002),AD1002+AD1007-AC1002,AD1002+AD1007)</f>
        <v>#VALUE!</v>
      </c>
      <c r="AP1008" s="252"/>
      <c r="AQ1008" s="252"/>
      <c r="AZ1008" s="304" t="s">
        <v>178</v>
      </c>
      <c r="BA1008" s="304"/>
      <c r="BB1008" s="304"/>
      <c r="BC1008" s="304"/>
      <c r="BD1008" s="303" t="str">
        <f>CONCATENATE((YEAR(AF1008)&amp;"")-1911,"年",MONTH(AF1008),"月",DAY(AF1008),"日")</f>
        <v>-11年1月0日</v>
      </c>
      <c r="BE1008" s="303"/>
    </row>
    <row r="1009" spans="25:47" x14ac:dyDescent="0.25">
      <c r="Y1009" s="266"/>
      <c r="Z1009" s="252"/>
      <c r="AA1009" s="252"/>
      <c r="AB1009" s="252"/>
      <c r="AC1009" s="252"/>
      <c r="AD1009" s="252"/>
      <c r="AE1009" s="252"/>
      <c r="AF1009" s="267"/>
      <c r="AK1009" s="252"/>
      <c r="AL1009" s="252"/>
      <c r="AM1009" s="252"/>
      <c r="AN1009" s="252"/>
      <c r="AO1009" s="252"/>
      <c r="AP1009" s="252"/>
      <c r="AQ1009" s="252"/>
      <c r="AR1009" s="252"/>
      <c r="AS1009" s="266"/>
      <c r="AT1009" s="252"/>
      <c r="AU1009" s="252"/>
    </row>
  </sheetData>
  <sheetProtection selectLockedCells="1"/>
  <mergeCells count="10">
    <mergeCell ref="A1:L1"/>
    <mergeCell ref="BD1008:BE1008"/>
    <mergeCell ref="AZ1008:BC1008"/>
    <mergeCell ref="J2:J3"/>
    <mergeCell ref="K2:L2"/>
    <mergeCell ref="A2:A3"/>
    <mergeCell ref="B2:D2"/>
    <mergeCell ref="E2:G2"/>
    <mergeCell ref="H2:H3"/>
    <mergeCell ref="I2:I3"/>
  </mergeCells>
  <phoneticPr fontId="1" type="noConversion"/>
  <conditionalFormatting sqref="AT3:AV84">
    <cfRule type="expression" dxfId="53" priority="13">
      <formula>AT3</formula>
    </cfRule>
  </conditionalFormatting>
  <conditionalFormatting sqref="AW3:BC84">
    <cfRule type="expression" dxfId="52" priority="12">
      <formula>AW3</formula>
    </cfRule>
  </conditionalFormatting>
  <conditionalFormatting sqref="AT2:AV2">
    <cfRule type="expression" dxfId="51" priority="11">
      <formula>AT2</formula>
    </cfRule>
  </conditionalFormatting>
  <conditionalFormatting sqref="AW2:BC2">
    <cfRule type="expression" dxfId="50" priority="10">
      <formula>AW2</formula>
    </cfRule>
  </conditionalFormatting>
  <conditionalFormatting sqref="AC2:AC84">
    <cfRule type="expression" dxfId="49" priority="9">
      <formula>AC2&gt;65</formula>
    </cfRule>
  </conditionalFormatting>
  <conditionalFormatting sqref="AD2:AD84">
    <cfRule type="expression" dxfId="48" priority="8">
      <formula>AD2&gt;40</formula>
    </cfRule>
  </conditionalFormatting>
  <conditionalFormatting sqref="Q2:Q84">
    <cfRule type="expression" dxfId="47" priority="7">
      <formula>Q2&gt;65</formula>
    </cfRule>
  </conditionalFormatting>
  <conditionalFormatting sqref="R2:R84">
    <cfRule type="expression" dxfId="46" priority="6">
      <formula>R2&gt;40</formula>
    </cfRule>
  </conditionalFormatting>
  <conditionalFormatting sqref="M2:X84">
    <cfRule type="expression" dxfId="45" priority="5">
      <formula>AND($M2&lt;&gt;"",$M3="")</formula>
    </cfRule>
  </conditionalFormatting>
  <conditionalFormatting sqref="A4:L86">
    <cfRule type="expression" dxfId="44" priority="1">
      <formula>AND($A4&lt;&gt;"",$A5="")</formula>
    </cfRule>
  </conditionalFormatting>
  <pageMargins left="0.7" right="0.7" top="0.75" bottom="0.75" header="0.3" footer="0.3"/>
  <ignoredErrors>
    <ignoredError sqref="A4:L8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tabColor theme="4" tint="0.79998168889431442"/>
  </sheetPr>
  <dimension ref="A1"/>
  <sheetViews>
    <sheetView workbookViewId="0">
      <selection activeCell="E17" sqref="E17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>
    <tabColor theme="4" tint="0.79998168889431442"/>
  </sheetPr>
  <dimension ref="A1:Q633"/>
  <sheetViews>
    <sheetView topLeftCell="A13" workbookViewId="0">
      <selection activeCell="M4" sqref="M4"/>
    </sheetView>
  </sheetViews>
  <sheetFormatPr defaultRowHeight="16.5" x14ac:dyDescent="0.25"/>
  <cols>
    <col min="1" max="1" width="5.375" customWidth="1"/>
    <col min="2" max="8" width="12.375" customWidth="1"/>
    <col min="9" max="9" width="13" customWidth="1"/>
    <col min="10" max="12" width="12.375" customWidth="1"/>
    <col min="13" max="16" width="7.375" customWidth="1"/>
    <col min="17" max="17" width="5.75" hidden="1" customWidth="1"/>
    <col min="18" max="19" width="5.75" customWidth="1"/>
    <col min="20" max="21" width="7.75" customWidth="1"/>
  </cols>
  <sheetData>
    <row r="1" spans="1:17" ht="46.5" customHeight="1" x14ac:dyDescent="0.25">
      <c r="A1" s="278" t="s">
        <v>16</v>
      </c>
      <c r="B1" s="278"/>
      <c r="C1" s="10" t="str">
        <f>最早可退休日期!B2</f>
        <v>中等以下教師</v>
      </c>
      <c r="D1" s="27" t="s">
        <v>78</v>
      </c>
      <c r="E1" s="10" t="str">
        <f>最早可退休日期!D2</f>
        <v>副教授</v>
      </c>
      <c r="F1" s="27" t="s">
        <v>108</v>
      </c>
      <c r="G1" s="26" t="e">
        <f>VLOOKUP(H1,Case,2,0)</f>
        <v>#VALUE!</v>
      </c>
      <c r="H1" s="3" t="e">
        <f>IF(Retire_Condition="符合",IF(RandF_Condition="符合",1,IF(AND(RandF_Condition="不符合",ExtensionOrReduction="展期"),2,IF(AND(RandF_Condition="不符合",ExtensionOrReduction="減額",Reduction_Condition="符合"),3,IF(RandF_Condition="不符合",4,5)))),6)</f>
        <v>#VALUE!</v>
      </c>
      <c r="I1" s="15"/>
      <c r="J1" s="3"/>
      <c r="K1" s="3"/>
      <c r="L1" s="15"/>
    </row>
    <row r="2" spans="1:17" ht="46.5" customHeight="1" x14ac:dyDescent="0.25">
      <c r="A2" s="279" t="s">
        <v>19</v>
      </c>
      <c r="B2" s="279"/>
      <c r="C2" s="10" t="str">
        <f>最早可退休日期!B1008</f>
        <v>否</v>
      </c>
      <c r="D2" s="26" t="s">
        <v>194</v>
      </c>
      <c r="E2" s="10" t="str">
        <f>最早可退休日期!G1006</f>
        <v>是</v>
      </c>
      <c r="F2" s="26" t="s">
        <v>82</v>
      </c>
      <c r="G2" s="11">
        <f>最早可退休日期!D1008</f>
        <v>650</v>
      </c>
      <c r="H2" s="26" t="s">
        <v>101</v>
      </c>
      <c r="I2" s="10" t="str">
        <f>最早可退休日期!F1008</f>
        <v>展期</v>
      </c>
      <c r="J2" s="64" t="e">
        <f>IF(AND(ExtensionOrReduction="否",RandF_Condition="符合"),"",IF(AND(ExtensionOrReduction&lt;&gt;"否",RandF_Condition="符合"),"無需辦理"&amp;ExtensionOrReduction,IF(AND(ExtensionOrReduction&lt;&gt;"否",Retire_Condition="不符合"),"未符合退休條件，無法辦理"&amp;ExtensionOrReduction,IF(AND(ExtensionOrReduction="否",Retire_Condition="不符合"),"未符合退休條件",IF(AND(ExtensionOrReduction&lt;&gt;"否",Working_Year&lt;15),"年資未達15年，無法辦理"&amp;ExtensionOrReduction,IF(AND(ExtensionOrReduction="減額",Reduction_Condition="不符合"),"年齡未達"&amp;Legal_Age-5&amp;"歲，無法辦理減額",IF(AND(ExtensionOrReduction="減額",Reduction_Condition="符合"),I15,IF(ExtensionOrReduction="展期","展期至"&amp;C5+Legal_Age&amp;"年"&amp;D5&amp;"月"&amp;E5&amp;"日","一次請領退休金"))))))))</f>
        <v>#VALUE!</v>
      </c>
      <c r="K2" s="26" t="s">
        <v>79</v>
      </c>
      <c r="L2" s="10" t="str">
        <f>最早可退休日期!G1005</f>
        <v>月補償金</v>
      </c>
      <c r="Q2" s="11">
        <f>最早可退休日期!N1008</f>
        <v>0</v>
      </c>
    </row>
    <row r="3" spans="1:17" x14ac:dyDescent="0.25">
      <c r="E3" s="100">
        <f>VLOOKUP($E$1,Highest_Point,2,0)</f>
        <v>710</v>
      </c>
      <c r="F3" s="100">
        <f>VLOOKUP(E3,參照表!$H$4:$K$34,4,0)</f>
        <v>29</v>
      </c>
      <c r="G3" s="100">
        <f>VLOOKUP(G2,Salary_Point,3,0)</f>
        <v>48415</v>
      </c>
    </row>
    <row r="4" spans="1:17" x14ac:dyDescent="0.25">
      <c r="A4" s="285"/>
      <c r="B4" s="287"/>
      <c r="C4" s="5" t="s">
        <v>0</v>
      </c>
      <c r="D4" s="5" t="s">
        <v>1</v>
      </c>
      <c r="E4" s="5" t="s">
        <v>2</v>
      </c>
      <c r="F4" s="28"/>
      <c r="G4" s="39" t="s">
        <v>0</v>
      </c>
      <c r="H4" s="57" t="s">
        <v>1</v>
      </c>
      <c r="I4" s="58" t="s">
        <v>2</v>
      </c>
      <c r="J4" s="59" t="s">
        <v>0</v>
      </c>
      <c r="K4" s="58" t="s">
        <v>1</v>
      </c>
      <c r="L4" s="40" t="s">
        <v>84</v>
      </c>
    </row>
    <row r="5" spans="1:17" x14ac:dyDescent="0.25">
      <c r="A5" s="285" t="s">
        <v>15</v>
      </c>
      <c r="B5" s="287"/>
      <c r="C5" s="11">
        <f>最早可退休日期!B5</f>
        <v>0</v>
      </c>
      <c r="D5" s="11">
        <f>最早可退休日期!C5</f>
        <v>0</v>
      </c>
      <c r="E5" s="11">
        <f>最早可退休日期!D5</f>
        <v>0</v>
      </c>
      <c r="F5" s="28" t="s">
        <v>3</v>
      </c>
      <c r="G5" s="10" t="e">
        <f>最早可退休日期!B1005</f>
        <v>#VALUE!</v>
      </c>
      <c r="H5" s="10" t="e">
        <f>最早可退休日期!C1005</f>
        <v>#VALUE!</v>
      </c>
      <c r="I5" s="56" t="e">
        <f>最早可退休日期!D1005</f>
        <v>#VALUE!</v>
      </c>
      <c r="J5" s="9" t="e">
        <f>IF(IF(I5&gt;0,H5+1,H5)=12,G5+1,G5)</f>
        <v>#VALUE!</v>
      </c>
      <c r="K5" s="28" t="e">
        <f>IF(IF(I5&gt;0,H5+1,H5)=12,0,IF(I5&gt;0,H5+1,H5))</f>
        <v>#VALUE!</v>
      </c>
      <c r="L5" s="9" t="e">
        <f>IF(Old_month&gt;0,Old_Year+1,Old_Year)</f>
        <v>#VALUE!</v>
      </c>
    </row>
    <row r="6" spans="1:17" x14ac:dyDescent="0.25">
      <c r="A6" s="285" t="s">
        <v>14</v>
      </c>
      <c r="B6" s="287"/>
      <c r="C6" s="11">
        <f>最早可退休日期!B1002</f>
        <v>129</v>
      </c>
      <c r="D6" s="11">
        <f>最早可退休日期!C1002</f>
        <v>8</v>
      </c>
      <c r="E6" s="11">
        <f>最早可退休日期!D1002</f>
        <v>1</v>
      </c>
      <c r="F6" s="28" t="s">
        <v>8</v>
      </c>
      <c r="G6" s="10" t="e">
        <f>最早可退休日期!B1006</f>
        <v>#VALUE!</v>
      </c>
      <c r="H6" s="10" t="e">
        <f>最早可退休日期!C1006</f>
        <v>#VALUE!</v>
      </c>
      <c r="I6" s="56" t="e">
        <f>最早可退休日期!D1006</f>
        <v>#VALUE!</v>
      </c>
      <c r="J6" s="9" t="e">
        <f>IF(IF(I6&gt;0,H6+1,H6)=12,G6+1,G6)</f>
        <v>#VALUE!</v>
      </c>
      <c r="K6" s="28" t="e">
        <f>IF(IF(I6&gt;0,H6+1,H6)=12,0,IF(I6&gt;0,H6+1,H6))</f>
        <v>#VALUE!</v>
      </c>
      <c r="L6" s="41"/>
      <c r="Q6" s="11">
        <f>最早可退休日期!P1002</f>
        <v>0</v>
      </c>
    </row>
    <row r="7" spans="1:17" x14ac:dyDescent="0.25">
      <c r="A7" s="278" t="s">
        <v>73</v>
      </c>
      <c r="B7" s="278"/>
      <c r="C7" s="3">
        <f>IF(OR(D6&lt;D5,AND(D6=D5,E6&lt;E5)),C6-1,C6)-C5</f>
        <v>129</v>
      </c>
      <c r="D7" s="3">
        <f>IF(IF(E6&lt;E5,D6-1,D6)&gt;=D5,IF(E6&lt;E5,D6-1,D6)-D5,IF(E6&lt;E5,D6-1,D6)+12-D5)</f>
        <v>8</v>
      </c>
      <c r="E7" s="52">
        <f>IF(E6&gt;=E5,E6-E5,E6+30-E5)</f>
        <v>1</v>
      </c>
      <c r="F7" s="28" t="s">
        <v>9</v>
      </c>
      <c r="G7" s="5" t="e">
        <f>G5+G6+ROUNDDOWN((H5+H6+ROUNDDOWN((I5+I6)/30,0))/12,0)</f>
        <v>#VALUE!</v>
      </c>
      <c r="H7" s="5" t="e">
        <f>MOD(H5+H6+ROUNDDOWN((I5+I6)/30,0),12)</f>
        <v>#VALUE!</v>
      </c>
      <c r="I7" s="28" t="e">
        <f>MOD(I5+I6,30)</f>
        <v>#VALUE!</v>
      </c>
      <c r="J7" s="9" t="e">
        <f>IF(J5+J6+ROUNDDOWN((K5+K6)/12,0)&gt;=40,40,J5+J6+ROUNDDOWN((K5+K6)/12,0))</f>
        <v>#VALUE!</v>
      </c>
      <c r="K7" s="28" t="e">
        <f>IF(J5+J6+ROUNDDOWN((K5+K6)/12,0)&gt;=40,0,MOD(K5+K6,12))</f>
        <v>#VALUE!</v>
      </c>
      <c r="L7" s="42"/>
      <c r="Q7" s="10">
        <f>最早可退休日期!L1007</f>
        <v>0</v>
      </c>
    </row>
    <row r="8" spans="1:17" x14ac:dyDescent="0.25">
      <c r="A8" s="2"/>
      <c r="B8" s="2"/>
      <c r="C8" s="2"/>
      <c r="D8" s="2"/>
      <c r="E8" s="2"/>
      <c r="F8" s="2"/>
      <c r="G8" s="97" t="e">
        <f>IF(OR(G7&gt;40,AND(G7=40,H7+I7&gt;0)),"輸入年資超過40年，請重新輸入","")</f>
        <v>#VALUE!</v>
      </c>
      <c r="H8" s="2"/>
      <c r="I8" s="2"/>
      <c r="J8" s="2"/>
    </row>
    <row r="9" spans="1:17" ht="21" customHeight="1" x14ac:dyDescent="0.25">
      <c r="A9" s="279" t="s">
        <v>5</v>
      </c>
      <c r="B9" s="5" t="s">
        <v>6</v>
      </c>
      <c r="C9" s="8">
        <f>C6</f>
        <v>129</v>
      </c>
      <c r="D9" s="327" t="s">
        <v>17</v>
      </c>
      <c r="E9" s="328"/>
      <c r="F9" s="336" t="s">
        <v>18</v>
      </c>
      <c r="G9" s="328"/>
      <c r="H9" s="283" t="s">
        <v>74</v>
      </c>
      <c r="I9" s="26" t="s">
        <v>102</v>
      </c>
      <c r="J9" s="278" t="s">
        <v>175</v>
      </c>
      <c r="K9" s="278"/>
    </row>
    <row r="10" spans="1:17" ht="21" customHeight="1" x14ac:dyDescent="0.25">
      <c r="A10" s="279"/>
      <c r="B10" s="5" t="s">
        <v>11</v>
      </c>
      <c r="C10" s="46" t="str">
        <f>IF(C9&gt;=122,"無",VLOOKUP(C9,Index,2,0))</f>
        <v>無</v>
      </c>
      <c r="D10" s="329"/>
      <c r="E10" s="330"/>
      <c r="F10" s="337"/>
      <c r="G10" s="330"/>
      <c r="H10" s="284"/>
      <c r="I10" s="331" t="s">
        <v>103</v>
      </c>
      <c r="J10" s="285" t="s">
        <v>122</v>
      </c>
      <c r="K10" s="287"/>
    </row>
    <row r="11" spans="1:17" ht="21" customHeight="1" x14ac:dyDescent="0.25">
      <c r="A11" s="279"/>
      <c r="B11" s="5" t="s">
        <v>13</v>
      </c>
      <c r="C11" s="8">
        <f>IF(C1="中等以下教師",58,IF(C9&gt;=122,65,VLOOKUP(C9,Legal_Year,3,0)))</f>
        <v>58</v>
      </c>
      <c r="D11" s="334" t="e">
        <f>IF(OR(D15="符合",E15="符合"),"符合","不符合")</f>
        <v>#VALUE!</v>
      </c>
      <c r="E11" s="335"/>
      <c r="F11" s="279" t="e">
        <f>IF(OR(F15="符合",G15="符合"),"符合","不符合")</f>
        <v>#VALUE!</v>
      </c>
      <c r="G11" s="279"/>
      <c r="H11" s="6" t="e">
        <f>IF(AND(Retire_Condition="符合",Full_Condition="符合"),"符合","不符合")</f>
        <v>#VALUE!</v>
      </c>
      <c r="I11" s="332"/>
      <c r="J11" s="320" t="e">
        <f>Earliest_Full</f>
        <v>#VALUE!</v>
      </c>
      <c r="K11" s="321"/>
    </row>
    <row r="12" spans="1:17" ht="21" customHeight="1" x14ac:dyDescent="0.25">
      <c r="A12" s="279"/>
      <c r="B12" s="7" t="s">
        <v>63</v>
      </c>
      <c r="C12" s="8">
        <f>IF(C9&lt;=115,50,55)</f>
        <v>55</v>
      </c>
      <c r="D12" s="324" t="s">
        <v>105</v>
      </c>
      <c r="E12" s="331" t="s">
        <v>106</v>
      </c>
      <c r="F12" s="331" t="s">
        <v>114</v>
      </c>
      <c r="G12" s="331" t="s">
        <v>113</v>
      </c>
      <c r="H12" s="331" t="s">
        <v>107</v>
      </c>
      <c r="I12" s="332"/>
      <c r="J12" s="285" t="s">
        <v>120</v>
      </c>
      <c r="K12" s="287"/>
    </row>
    <row r="13" spans="1:17" ht="21" customHeight="1" x14ac:dyDescent="0.25">
      <c r="A13" s="279"/>
      <c r="B13" s="5" t="s">
        <v>4</v>
      </c>
      <c r="C13" s="2">
        <f>Age_Year</f>
        <v>129</v>
      </c>
      <c r="D13" s="325"/>
      <c r="E13" s="332"/>
      <c r="F13" s="332"/>
      <c r="G13" s="332"/>
      <c r="H13" s="332"/>
      <c r="I13" s="333"/>
      <c r="J13" s="320" t="e">
        <f>Earliest_Reduction</f>
        <v>#VALUE!</v>
      </c>
      <c r="K13" s="321"/>
    </row>
    <row r="14" spans="1:17" ht="21" customHeight="1" x14ac:dyDescent="0.25">
      <c r="A14" s="279"/>
      <c r="B14" s="4" t="s">
        <v>7</v>
      </c>
      <c r="C14" s="8" t="e">
        <f>Working_Year</f>
        <v>#VALUE!</v>
      </c>
      <c r="D14" s="326"/>
      <c r="E14" s="333"/>
      <c r="F14" s="333"/>
      <c r="G14" s="333"/>
      <c r="H14" s="332"/>
      <c r="I14" s="26" t="e">
        <f>IF(AND(Retire_Condition="符合",Full_Condition="不符合",Age_Year+5&gt;=Legal_Age,Age_Year&lt;Legal_Age,C14&gt;=15),"符合","不符合")</f>
        <v>#VALUE!</v>
      </c>
      <c r="J14" s="285" t="s">
        <v>121</v>
      </c>
      <c r="K14" s="287"/>
    </row>
    <row r="15" spans="1:17" ht="21" customHeight="1" x14ac:dyDescent="0.25">
      <c r="A15" s="279"/>
      <c r="B15" s="5" t="s">
        <v>10</v>
      </c>
      <c r="C15" s="8" t="e">
        <f>Age_Year+Working_Year</f>
        <v>#VALUE!</v>
      </c>
      <c r="D15" s="9" t="e">
        <f>IF(Working_Year&gt;=25,"符合","不符合")</f>
        <v>#VALUE!</v>
      </c>
      <c r="E15" s="7" t="e">
        <f>IF(AND(Age_Year&gt;=60,Working_Year&gt;=5),"符合","不符合")</f>
        <v>#VALUE!</v>
      </c>
      <c r="F15" s="7" t="e">
        <f>IF(AND(C9&lt;122,AND(Age_Year+Working_Year&gt;=C10,Age_Year&gt;=Basic_Year,Working_Year&gt;=15)),"符合","不符合")</f>
        <v>#VALUE!</v>
      </c>
      <c r="G15" s="7" t="e">
        <f>IF(AND(Age_Year&gt;=Legal_Age,Working_Year&gt;=15),"符合","不符合")</f>
        <v>#VALUE!</v>
      </c>
      <c r="H15" s="333"/>
      <c r="I15" s="25" t="e">
        <f>IF(Reduction_Condition="不符合","",-0.04*(Legal_Age-(Age_Year+Age_Month/12)))</f>
        <v>#VALUE!</v>
      </c>
      <c r="J15" s="320" t="e">
        <f>Earliest_Extention</f>
        <v>#VALUE!</v>
      </c>
      <c r="K15" s="321"/>
    </row>
    <row r="17" spans="1:17" ht="16.5" customHeight="1" x14ac:dyDescent="0.25">
      <c r="B17" s="102">
        <v>40725</v>
      </c>
      <c r="C17" s="322" t="s">
        <v>21</v>
      </c>
      <c r="D17" s="323"/>
      <c r="E17" s="101">
        <f>VLOOKUP(E19,參照表!$H$4:$K$34,4,0)</f>
        <v>27</v>
      </c>
      <c r="F17" s="338" t="str">
        <f>IF(C2="是",IF(E19&gt;VLOOKUP($E$1,Highest_Point,2,0),CONCATENATE("高於",$E$1,"最高年功薪"),""),IF(MAX(E19:E33)&gt;VLOOKUP($E$1,Highest_Point,2,0),CONCATENATE("高於",$E$1,"最高年功薪"),""))</f>
        <v/>
      </c>
      <c r="G17" s="338"/>
      <c r="H17" s="2"/>
      <c r="I17" s="2"/>
      <c r="J17" s="2"/>
      <c r="K17" s="2"/>
      <c r="L17" s="2"/>
    </row>
    <row r="18" spans="1:17" x14ac:dyDescent="0.25">
      <c r="B18" s="278" t="s">
        <v>22</v>
      </c>
      <c r="C18" s="278"/>
      <c r="D18" s="278"/>
      <c r="E18" s="27" t="s">
        <v>23</v>
      </c>
      <c r="F18" s="28" t="s">
        <v>24</v>
      </c>
      <c r="G18" s="9" t="s">
        <v>64</v>
      </c>
      <c r="H18" s="27" t="s">
        <v>42</v>
      </c>
      <c r="I18" s="12"/>
      <c r="J18" s="279" t="s">
        <v>60</v>
      </c>
      <c r="K18" s="279"/>
      <c r="L18" s="3" t="e">
        <f>IF(Interest&gt;0,IF((G7+H7/12+I7/365)*1.2&gt;=36,36,ROUND((G7+H7/12+I7/365)*1.2,4)),IF((G7+H7/12+I7/365)*1.2&gt;=42,42,ROUND((G7+H7/12+I7/365)*1.2,4)))</f>
        <v>#VALUE!</v>
      </c>
    </row>
    <row r="19" spans="1:17" x14ac:dyDescent="0.25">
      <c r="A19" s="154">
        <v>650</v>
      </c>
      <c r="B19" s="72">
        <f>DATEVALUE(CONCATENATE($C$6+1911,"/",$D$6,"/",$E$6))</f>
        <v>51349</v>
      </c>
      <c r="C19" s="18" t="str">
        <f>CONCATENATE($C$6,"年薪點")</f>
        <v>129年薪點</v>
      </c>
      <c r="D19" s="61" t="s">
        <v>25</v>
      </c>
      <c r="E19" s="175">
        <f>最早可退休日期!C1012</f>
        <v>650</v>
      </c>
      <c r="F19" s="74">
        <f>IF(B19&lt;$B$17,VLOOKUP(E19,Salary_Point,2,0),VLOOKUP(E19,Salary_Point,3,0))</f>
        <v>48415</v>
      </c>
      <c r="G19" s="65">
        <v>5</v>
      </c>
      <c r="H19" s="75">
        <f>(F23+F22+F21+F20+F19)/G19</f>
        <v>45750</v>
      </c>
      <c r="I19" s="81">
        <v>5</v>
      </c>
      <c r="J19" s="279" t="s">
        <v>62</v>
      </c>
      <c r="K19" s="279"/>
      <c r="L19" s="17" t="e">
        <f>ROUND(Insurance_Salary*L18,0)</f>
        <v>#VALUE!</v>
      </c>
      <c r="Q19" s="175">
        <f>最早可退休日期!O1012</f>
        <v>0</v>
      </c>
    </row>
    <row r="20" spans="1:17" x14ac:dyDescent="0.25">
      <c r="A20" s="154">
        <v>625</v>
      </c>
      <c r="B20" s="72">
        <f>DATEVALUE(CONCATENATE($C$6+1911-1,"/",$D$6,"/",$E$6))</f>
        <v>50983</v>
      </c>
      <c r="C20" s="19" t="str">
        <f>CONCATENATE($C$6-1,"年薪點")</f>
        <v>128年薪點</v>
      </c>
      <c r="D20" s="62" t="s">
        <v>28</v>
      </c>
      <c r="E20" s="176">
        <f>最早可退休日期!C1013</f>
        <v>625</v>
      </c>
      <c r="F20" s="35">
        <f t="shared" ref="F20:F33" si="0">IF(B20&lt;$B$17,VLOOKUP(E20,Salary_Point,2,0),VLOOKUP(E20,Salary_Point,3,0))</f>
        <v>47080</v>
      </c>
      <c r="G20" s="65">
        <v>6</v>
      </c>
      <c r="H20" s="75">
        <f>(F24+F23+F22+F21+F20+F19)/G20</f>
        <v>45084.166666666664</v>
      </c>
      <c r="I20" s="85">
        <v>5</v>
      </c>
      <c r="J20" s="278" t="s">
        <v>57</v>
      </c>
      <c r="K20" s="278"/>
      <c r="L20" s="86" t="e">
        <f>ROUNDUP((G5+H5/12+I5/365)*1.2,4)</f>
        <v>#VALUE!</v>
      </c>
      <c r="Q20" s="176">
        <f>最早可退休日期!O1013</f>
        <v>0</v>
      </c>
    </row>
    <row r="21" spans="1:17" x14ac:dyDescent="0.25">
      <c r="A21" s="154">
        <v>600</v>
      </c>
      <c r="B21" s="72">
        <f>DATEVALUE(CONCATENATE($C$6+1911-2,"/",$D$6,"/",$E$6))</f>
        <v>50618</v>
      </c>
      <c r="C21" s="19" t="str">
        <f>CONCATENATE($C$6-2,"年薪點")</f>
        <v>127年薪點</v>
      </c>
      <c r="D21" s="62" t="s">
        <v>29</v>
      </c>
      <c r="E21" s="176">
        <f>最早可退休日期!C1014</f>
        <v>600</v>
      </c>
      <c r="F21" s="35">
        <f t="shared" si="0"/>
        <v>45750</v>
      </c>
      <c r="G21" s="65">
        <v>7</v>
      </c>
      <c r="H21" s="75">
        <f>(F25+F24+F23+F22+F21+F20+F19)/G21</f>
        <v>44417.857142857145</v>
      </c>
      <c r="I21" s="85">
        <v>5</v>
      </c>
      <c r="J21" s="279" t="s">
        <v>61</v>
      </c>
      <c r="K21" s="279"/>
      <c r="L21" s="17" t="e">
        <f>ROUND(Insurance_Salary*L20,0)</f>
        <v>#VALUE!</v>
      </c>
      <c r="Q21" s="176">
        <f>最早可退休日期!O1014</f>
        <v>0</v>
      </c>
    </row>
    <row r="22" spans="1:17" x14ac:dyDescent="0.25">
      <c r="A22" s="154">
        <v>575</v>
      </c>
      <c r="B22" s="72">
        <f>DATEVALUE(CONCATENATE($C$6+1911-3,"/",$D$6,"/",$E$6))</f>
        <v>50253</v>
      </c>
      <c r="C22" s="19" t="str">
        <f>CONCATENATE($C$6-3,"年薪點")</f>
        <v>126年薪點</v>
      </c>
      <c r="D22" s="62" t="s">
        <v>30</v>
      </c>
      <c r="E22" s="176">
        <f>最早可退休日期!C1015</f>
        <v>575</v>
      </c>
      <c r="F22" s="35">
        <f t="shared" si="0"/>
        <v>44420</v>
      </c>
      <c r="G22" s="65">
        <v>8</v>
      </c>
      <c r="H22" s="75">
        <f>(F26+F25+F24+F23+F22+F21+F20+F19)/G22</f>
        <v>43751.875</v>
      </c>
      <c r="I22" s="85">
        <v>5</v>
      </c>
      <c r="J22" s="278" t="s">
        <v>59</v>
      </c>
      <c r="K22" s="278"/>
      <c r="L22" s="51" t="e">
        <f>IF(E2="否",0,ROUND(L21*0.18/12*IF(Way&lt;=3,1,0),0))</f>
        <v>#VALUE!</v>
      </c>
      <c r="Q22" s="176">
        <f>最早可退休日期!O1015</f>
        <v>0</v>
      </c>
    </row>
    <row r="23" spans="1:17" ht="16.5" customHeight="1" x14ac:dyDescent="0.25">
      <c r="A23" s="154">
        <v>550</v>
      </c>
      <c r="B23" s="72">
        <f>DATEVALUE(CONCATENATE($C$6+1911-4,"/",$D$6,"/",$E$6))</f>
        <v>49888</v>
      </c>
      <c r="C23" s="19" t="str">
        <f>CONCATENATE($C$6-4,"年薪點")</f>
        <v>125年薪點</v>
      </c>
      <c r="D23" s="62" t="s">
        <v>31</v>
      </c>
      <c r="E23" s="176">
        <f>最早可退休日期!C1016</f>
        <v>550</v>
      </c>
      <c r="F23" s="35">
        <f t="shared" si="0"/>
        <v>43085</v>
      </c>
      <c r="G23" s="65">
        <v>9</v>
      </c>
      <c r="H23" s="75">
        <f>(F27+F26+F25+F24+F23+F22+F21+F20+F19)/G23</f>
        <v>42937.777777777781</v>
      </c>
      <c r="I23" s="85">
        <v>5</v>
      </c>
      <c r="J23" s="336" t="s">
        <v>58</v>
      </c>
      <c r="K23" s="339"/>
      <c r="L23" s="342" t="e">
        <f>L19-L21</f>
        <v>#VALUE!</v>
      </c>
      <c r="Q23" s="176">
        <f>最早可退休日期!O1016</f>
        <v>0</v>
      </c>
    </row>
    <row r="24" spans="1:17" x14ac:dyDescent="0.25">
      <c r="A24" s="154">
        <v>525</v>
      </c>
      <c r="B24" s="72">
        <f>DATEVALUE(CONCATENATE($C$6+1911-5,"/",$D$6,"/",$E$6))</f>
        <v>49522</v>
      </c>
      <c r="C24" s="19" t="str">
        <f>CONCATENATE($C$6-5,"年薪點")</f>
        <v>124年薪點</v>
      </c>
      <c r="D24" s="62" t="s">
        <v>32</v>
      </c>
      <c r="E24" s="176">
        <f>最早可退休日期!C1017</f>
        <v>525</v>
      </c>
      <c r="F24" s="35">
        <f t="shared" si="0"/>
        <v>41755</v>
      </c>
      <c r="G24" s="65">
        <v>10</v>
      </c>
      <c r="H24" s="75">
        <f>(F28+F27+F26+F25+F24+F23+F22+F21+F20+F19)/G24</f>
        <v>42186.5</v>
      </c>
      <c r="I24" s="85">
        <v>6</v>
      </c>
      <c r="J24" s="340"/>
      <c r="K24" s="341"/>
      <c r="L24" s="342"/>
      <c r="Q24" s="176">
        <f>最早可退休日期!O1017</f>
        <v>0</v>
      </c>
    </row>
    <row r="25" spans="1:17" x14ac:dyDescent="0.25">
      <c r="A25" s="154">
        <v>500</v>
      </c>
      <c r="B25" s="72">
        <f>DATEVALUE(CONCATENATE($C$6+1911-6,"/",$D$6,"/",$E$6))</f>
        <v>49157</v>
      </c>
      <c r="C25" s="19" t="str">
        <f>CONCATENATE($C$6-6,"年薪點")</f>
        <v>123年薪點</v>
      </c>
      <c r="D25" s="62" t="s">
        <v>33</v>
      </c>
      <c r="E25" s="176">
        <f>最早可退休日期!C1018</f>
        <v>500</v>
      </c>
      <c r="F25" s="35">
        <f t="shared" si="0"/>
        <v>40420</v>
      </c>
      <c r="G25" s="65">
        <v>11</v>
      </c>
      <c r="H25" s="75">
        <f>(F29+F28+F27+F26+F25+F24+F23+F22+F21+F20+F19)/G25</f>
        <v>41481.36363636364</v>
      </c>
      <c r="I25" s="85">
        <v>7</v>
      </c>
      <c r="J25" s="70"/>
      <c r="K25" s="70"/>
      <c r="L25" s="71"/>
      <c r="Q25" s="176">
        <f>最早可退休日期!O1018</f>
        <v>0</v>
      </c>
    </row>
    <row r="26" spans="1:17" x14ac:dyDescent="0.25">
      <c r="A26" s="154">
        <v>475</v>
      </c>
      <c r="B26" s="72">
        <f>DATEVALUE(CONCATENATE($C$6+1911-7,"/",$D$6,"/",$E$6))</f>
        <v>48792</v>
      </c>
      <c r="C26" s="19" t="str">
        <f>CONCATENATE($C$6-7,"年薪點")</f>
        <v>122年薪點</v>
      </c>
      <c r="D26" s="62" t="s">
        <v>34</v>
      </c>
      <c r="E26" s="176">
        <f>最早可退休日期!C1019</f>
        <v>475</v>
      </c>
      <c r="F26" s="35">
        <f t="shared" si="0"/>
        <v>39090</v>
      </c>
      <c r="G26" s="65">
        <v>12</v>
      </c>
      <c r="H26" s="75">
        <f>(F30+F29+F28+F27+F26+F25+F24+F23+F22+F21+F20+F19)/G26</f>
        <v>40810.416666666664</v>
      </c>
      <c r="I26" s="85">
        <v>8</v>
      </c>
      <c r="J26" s="279" t="s">
        <v>112</v>
      </c>
      <c r="K26" s="279"/>
      <c r="L26" s="87" t="e">
        <f>IF(OR(L5=0,C6&gt;108,AND(C6=108,D6&gt;=7),L2="月補償金"),0,ROUND(IF(C2="是",Retire_Salary,Avg_Salary)*2*MAX(0,15-L5)*0.5*IF(Way=3,1+J2,IF(Way&lt;=2,1,0)),0))</f>
        <v>#VALUE!</v>
      </c>
      <c r="Q26" s="176">
        <f>最早可退休日期!O1019</f>
        <v>0</v>
      </c>
    </row>
    <row r="27" spans="1:17" x14ac:dyDescent="0.25">
      <c r="A27" s="154">
        <v>450</v>
      </c>
      <c r="B27" s="72">
        <f>DATEVALUE(CONCATENATE($C$6+1911-8,"/",$D$6,"/",$E$6))</f>
        <v>48427</v>
      </c>
      <c r="C27" s="19" t="str">
        <f>CONCATENATE($C$6-8,"年薪點")</f>
        <v>121年薪點</v>
      </c>
      <c r="D27" s="62" t="s">
        <v>35</v>
      </c>
      <c r="E27" s="176">
        <f>最早可退休日期!C1020</f>
        <v>450</v>
      </c>
      <c r="F27" s="35">
        <f t="shared" si="0"/>
        <v>36425</v>
      </c>
      <c r="G27" s="65">
        <v>13</v>
      </c>
      <c r="H27" s="75">
        <f>(F31+F30+F29+F28+F27+F26+F25+F24+F23+F22+F21+F20+F19)/G27</f>
        <v>40165.769230769234</v>
      </c>
      <c r="I27" s="85">
        <v>9</v>
      </c>
      <c r="Q27" s="176">
        <f>最早可退休日期!O1020</f>
        <v>0</v>
      </c>
    </row>
    <row r="28" spans="1:17" x14ac:dyDescent="0.25">
      <c r="A28" s="154">
        <v>430</v>
      </c>
      <c r="B28" s="72">
        <f>DATEVALUE(CONCATENATE($C$6+1911-9,"/",$D$6,"/",$E$6))</f>
        <v>48061</v>
      </c>
      <c r="C28" s="19" t="str">
        <f>CONCATENATE($C$6-9,"年薪點")</f>
        <v>120年薪點</v>
      </c>
      <c r="D28" s="62" t="s">
        <v>36</v>
      </c>
      <c r="E28" s="176">
        <f>最早可退休日期!C1021</f>
        <v>430</v>
      </c>
      <c r="F28" s="35">
        <f t="shared" si="0"/>
        <v>35425</v>
      </c>
      <c r="G28" s="65">
        <v>14</v>
      </c>
      <c r="H28" s="75">
        <f>(F32+F31+F30+F29+F28+F27+F26+F25+F24+F23+F22+F21+F20+F19)/G28</f>
        <v>39541.785714285717</v>
      </c>
      <c r="I28" s="85">
        <v>10</v>
      </c>
      <c r="Q28" s="176">
        <f>最早可退休日期!O1021</f>
        <v>0</v>
      </c>
    </row>
    <row r="29" spans="1:17" x14ac:dyDescent="0.25">
      <c r="A29" s="154">
        <v>410</v>
      </c>
      <c r="B29" s="72">
        <f>DATEVALUE(CONCATENATE($C$6+1911-10,"/",$D$6,"/",$E$6))</f>
        <v>47696</v>
      </c>
      <c r="C29" s="19" t="str">
        <f>CONCATENATE($C$6-10,"年薪點")</f>
        <v>119年薪點</v>
      </c>
      <c r="D29" s="62" t="s">
        <v>37</v>
      </c>
      <c r="E29" s="176">
        <f>最早可退休日期!C1022</f>
        <v>410</v>
      </c>
      <c r="F29" s="66">
        <f t="shared" si="0"/>
        <v>34430</v>
      </c>
      <c r="G29" s="65">
        <v>15</v>
      </c>
      <c r="H29" s="75">
        <f>(F33+F32+F31+F30+F29+F28+F27+F26+F25+F24+F23+F22+F21+F20+F19)/G29</f>
        <v>38934.333333333336</v>
      </c>
      <c r="I29" s="85">
        <v>11</v>
      </c>
      <c r="Q29" s="176">
        <f>最早可退休日期!O1022</f>
        <v>0</v>
      </c>
    </row>
    <row r="30" spans="1:17" x14ac:dyDescent="0.25">
      <c r="A30" s="154">
        <v>390</v>
      </c>
      <c r="B30" s="72">
        <f>DATEVALUE(CONCATENATE($C$6+1911-11,"/",$D$6,"/",$E$6))</f>
        <v>47331</v>
      </c>
      <c r="C30" s="19" t="str">
        <f>CONCATENATE($C$6-11,"年薪點")</f>
        <v>118年薪點</v>
      </c>
      <c r="D30" s="62" t="s">
        <v>38</v>
      </c>
      <c r="E30" s="176">
        <f>最早可退休日期!C1023</f>
        <v>390</v>
      </c>
      <c r="F30" s="66">
        <f t="shared" si="0"/>
        <v>33430</v>
      </c>
      <c r="G30" s="84" t="str">
        <f>CONCATENATE(IF(C6&lt;=108,5,IF(C6&gt;=118,15,C6-103)),"年均俸")</f>
        <v>15年均俸</v>
      </c>
      <c r="H30" s="76">
        <f>IF(ISERROR(HLOOKUP($H$18,$H$18:$H$29,IF(C6&lt;=108,5,IF(C6&gt;=118,15,C6-103))-3,0)),"無法計算",HLOOKUP($H$18,$H$18:$H$29,IF(C6&lt;=108,5,IF(C6&gt;=118,15,C6-103))-3,0))</f>
        <v>38934.333333333336</v>
      </c>
      <c r="I30" s="85">
        <v>12</v>
      </c>
      <c r="Q30" s="176">
        <f>最早可退休日期!O1023</f>
        <v>0</v>
      </c>
    </row>
    <row r="31" spans="1:17" x14ac:dyDescent="0.25">
      <c r="A31" s="154">
        <v>370</v>
      </c>
      <c r="B31" s="72">
        <f>DATEVALUE(CONCATENATE($C$6+1911-12,"/",$D$6,"/",$E$6))</f>
        <v>46966</v>
      </c>
      <c r="C31" s="19" t="str">
        <f>CONCATENATE($C$6-12,"年薪點")</f>
        <v>117年薪點</v>
      </c>
      <c r="D31" s="62" t="s">
        <v>39</v>
      </c>
      <c r="E31" s="176">
        <f>最早可退休日期!C1024</f>
        <v>370</v>
      </c>
      <c r="F31" s="66">
        <f t="shared" si="0"/>
        <v>32430</v>
      </c>
      <c r="G31" s="67"/>
      <c r="H31" s="77"/>
      <c r="I31" s="85">
        <v>13</v>
      </c>
      <c r="Q31" s="176">
        <f>最早可退休日期!O1024</f>
        <v>0</v>
      </c>
    </row>
    <row r="32" spans="1:17" x14ac:dyDescent="0.25">
      <c r="A32" s="154">
        <v>350</v>
      </c>
      <c r="B32" s="72">
        <f>DATEVALUE(CONCATENATE($C$6+1911-13,"/",$D$6,"/",$E$6))</f>
        <v>46600</v>
      </c>
      <c r="C32" s="19" t="str">
        <f>CONCATENATE($C$6-13,"年薪點")</f>
        <v>116年薪點</v>
      </c>
      <c r="D32" s="62" t="s">
        <v>40</v>
      </c>
      <c r="E32" s="176">
        <f>最早可退休日期!C1025</f>
        <v>350</v>
      </c>
      <c r="F32" s="66">
        <f t="shared" si="0"/>
        <v>31430</v>
      </c>
      <c r="G32" s="68"/>
      <c r="H32" s="78"/>
      <c r="I32" s="85">
        <v>14</v>
      </c>
      <c r="Q32" s="176">
        <f>最早可退休日期!O1025</f>
        <v>0</v>
      </c>
    </row>
    <row r="33" spans="1:17" x14ac:dyDescent="0.25">
      <c r="A33" s="154">
        <v>330</v>
      </c>
      <c r="B33" s="79">
        <f>DATEVALUE(CONCATENATE($C$6+1911-14,"/",$D$6,"/",$E$6))</f>
        <v>46235</v>
      </c>
      <c r="C33" s="20" t="str">
        <f>CONCATENATE($C$6-14,"年薪點")</f>
        <v>115年薪點</v>
      </c>
      <c r="D33" s="63" t="s">
        <v>41</v>
      </c>
      <c r="E33" s="176">
        <f>最早可退休日期!C1026</f>
        <v>330</v>
      </c>
      <c r="F33" s="22">
        <f t="shared" si="0"/>
        <v>30430</v>
      </c>
      <c r="G33" s="69"/>
      <c r="H33" s="21"/>
      <c r="I33" s="85">
        <v>15</v>
      </c>
      <c r="Q33" s="176">
        <f>最早可退休日期!O1026</f>
        <v>0</v>
      </c>
    </row>
    <row r="34" spans="1:17" x14ac:dyDescent="0.25">
      <c r="A34" s="2"/>
      <c r="B34" s="2"/>
      <c r="C34" s="13"/>
      <c r="D34" s="2"/>
      <c r="E34" s="177"/>
      <c r="F34" s="2"/>
      <c r="G34" s="2"/>
      <c r="H34" s="2"/>
      <c r="I34" s="2"/>
    </row>
    <row r="35" spans="1:17" ht="16.5" customHeight="1" x14ac:dyDescent="0.25">
      <c r="A35" s="60"/>
      <c r="B35" s="55" t="s">
        <v>94</v>
      </c>
      <c r="C35" s="51" t="e">
        <f>Tol_Income+Compensation+Interest</f>
        <v>#VALUE!</v>
      </c>
      <c r="D35" s="54" t="s">
        <v>104</v>
      </c>
      <c r="E35" s="51" t="e">
        <f>Old_Income+New_Income</f>
        <v>#VALUE!</v>
      </c>
      <c r="F35" s="53" t="s">
        <v>88</v>
      </c>
      <c r="G35" s="87" t="e">
        <f>IF(OR(L5=0,C6&gt;108,AND(C6=108,D6&gt;=7),L2="一次請領"),0,ROUND(IF(C2="是",Retire_Salary,Avg_Salary)*2*MAX(0,15-L5)*0.005*IF(Way=3,1+J2,IF(Way&lt;=2,1,0)),0))</f>
        <v>#VALUE!</v>
      </c>
      <c r="H35" s="53" t="s">
        <v>89</v>
      </c>
      <c r="I35" s="87" t="e">
        <f>Interest</f>
        <v>#VALUE!</v>
      </c>
      <c r="J35" s="53" t="s">
        <v>111</v>
      </c>
      <c r="K35" s="51" t="e">
        <f>IF(Way=3,Floor1,MAX(Floor1,Floor2))</f>
        <v>#VALUE!</v>
      </c>
    </row>
    <row r="36" spans="1:17" ht="16.5" customHeight="1" x14ac:dyDescent="0.25">
      <c r="D36" s="55" t="s">
        <v>95</v>
      </c>
      <c r="E36" s="17" t="e">
        <f>ROUND(IF((Old_Year+Old_month)=0,0,IF(Old_Year&gt;=15,(75%+(Old_Year-15+Old_month/12)*1%),(Old_Year+Old_month/12)*5%)*IF(C2="是",Retire_Salary,Avg_Salary)+930)*IF(Way=3,1+J2,IF(Way&lt;=2,1,0)),0)</f>
        <v>#VALUE!</v>
      </c>
      <c r="F36" s="2" t="e">
        <f>CONCATENATE("=[(",MIN(15,Old_Year),IF(OR(Old_month=0,Old_Year&gt;=15),"","又"&amp;Old_month&amp;"/12"),"年*5%+",MAX(0,Old_Year-15),IF(OR(Old_month=0,Old_Year&lt;15),"","又"&amp;Old_month&amp;"/12"),"年*1%)*",ROUND(IF(C2="是",Retire_Salary,Avg_Salary),0),"元+930元]",IF(Way=3,"*"&amp;ROUND((1+J2)*100,2)&amp;"%",""))</f>
        <v>#VALUE!</v>
      </c>
      <c r="G36" s="2"/>
      <c r="H36" s="2"/>
      <c r="J36" s="53" t="s">
        <v>68</v>
      </c>
      <c r="K36" s="17">
        <v>32160</v>
      </c>
    </row>
    <row r="37" spans="1:17" x14ac:dyDescent="0.25">
      <c r="D37" s="55" t="s">
        <v>96</v>
      </c>
      <c r="E37" s="17" t="e">
        <f>ROUND((New_Year+New_Month/12)*0.02*2*IF(C2="是",Retire_Salary,Avg_Salary)*IF(Way=3,1+J2,IF(Way&lt;=2,1,0)),0)</f>
        <v>#VALUE!</v>
      </c>
      <c r="F37" s="2" t="e">
        <f>CONCATENATE("=",New_Year,IF(New_Month=0,"","又"&amp;New_Month&amp;"/12"),"年*2%*2*",ROUND(IF(C2="是",Retire_Salary,Avg_Salary),0),"元",IF(Way=3,"*"&amp;ROUND((1+J2)*100,2)&amp;"%",""))</f>
        <v>#VALUE!</v>
      </c>
      <c r="G37" s="2"/>
      <c r="H37" s="2"/>
      <c r="J37" s="53" t="s">
        <v>69</v>
      </c>
      <c r="K37" s="17" t="e">
        <f>ROUND(Retire_Salary*2*(VLOOKUP(Working_Year2,Replacement_Rate,12,0)+Working_Month2/12*IF(Working_Year2&gt;=35,0.005,0.015)),0)</f>
        <v>#VALUE!</v>
      </c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17" x14ac:dyDescent="0.25">
      <c r="A39" s="278" t="s">
        <v>71</v>
      </c>
      <c r="B39" s="279" t="s">
        <v>93</v>
      </c>
      <c r="C39" s="279" t="s">
        <v>70</v>
      </c>
      <c r="D39" s="283" t="s">
        <v>91</v>
      </c>
      <c r="E39" s="285" t="s">
        <v>90</v>
      </c>
      <c r="F39" s="286"/>
      <c r="G39" s="286"/>
      <c r="H39" s="287"/>
      <c r="I39" s="278" t="s">
        <v>92</v>
      </c>
      <c r="J39" s="278"/>
      <c r="K39" s="278"/>
      <c r="L39" s="278"/>
    </row>
    <row r="40" spans="1:17" ht="33" customHeight="1" x14ac:dyDescent="0.25">
      <c r="A40" s="278"/>
      <c r="B40" s="279"/>
      <c r="C40" s="279"/>
      <c r="D40" s="284"/>
      <c r="E40" s="24" t="s">
        <v>85</v>
      </c>
      <c r="F40" s="24" t="s">
        <v>75</v>
      </c>
      <c r="G40" s="24" t="s">
        <v>86</v>
      </c>
      <c r="H40" s="24" t="s">
        <v>87</v>
      </c>
      <c r="I40" s="24" t="s">
        <v>85</v>
      </c>
      <c r="J40" s="26" t="s">
        <v>59</v>
      </c>
      <c r="K40" s="26" t="s">
        <v>86</v>
      </c>
      <c r="L40" s="26" t="s">
        <v>87</v>
      </c>
    </row>
    <row r="41" spans="1:17" x14ac:dyDescent="0.25">
      <c r="A41" s="23" t="e">
        <f>IF(Way=2,C5+Legal_Age,C6)</f>
        <v>#VALUE!</v>
      </c>
      <c r="B41" s="36" t="e">
        <f t="shared" ref="B41:B61" si="1">VLOOKUP(Working_Year2,Replacement_Rate,IF((A41-106)&gt;=12,12,A41-106),0)+Working_Month2/12*IF(Working_Year2&gt;=35,0.005,0.015)</f>
        <v>#VALUE!</v>
      </c>
      <c r="C41" s="17" t="e">
        <f t="shared" ref="C41:C61" si="2">ROUND(Retire_Salary*2*B41,0)</f>
        <v>#VALUE!</v>
      </c>
      <c r="D41" s="43" t="e">
        <f t="shared" ref="D41:D61" si="3">ROUNDUP(Interest/0.18*IF(A41&gt;=110,0,VLOOKUP(A41,Interest_Percentage,2,0)),0)</f>
        <v>#VALUE!</v>
      </c>
      <c r="E41" s="43" t="e">
        <f>F41+G41+H41</f>
        <v>#VALUE!</v>
      </c>
      <c r="F41" s="43" t="e">
        <f t="shared" ref="F41:F61" si="4">IF(Tol_Income+Compensation+D41&lt;=C41,D41,IF(Tol_Income+Compensation&gt;=C41,0,C41-(Tol_Income+Compensation)))</f>
        <v>#VALUE!</v>
      </c>
      <c r="G41" s="43" t="e">
        <f t="shared" ref="G41:G61" si="5">IF(F41&gt;0,Compensation,IF(Tol_Income+Compensation&lt;C41,Compensation,IF(Tol_Income&gt;=C41,0,C41-Tol_Income)))</f>
        <v>#VALUE!</v>
      </c>
      <c r="H41" s="43" t="e">
        <f t="shared" ref="H41:H61" si="6">IF(G41&gt;0,Tol_Income,IF(Tol_Income&lt;=C41,Tol_Income,C41))</f>
        <v>#VALUE!</v>
      </c>
      <c r="I41" s="44" t="e">
        <f t="shared" ref="I41:I61" si="7">MAX(MIN(Org_Income,Floor),MIN(C41,Tol_Income+Compensation+D41))</f>
        <v>#VALUE!</v>
      </c>
      <c r="J41" s="43" t="e">
        <f t="shared" ref="J41:J61" si="8">IF(E41+(L41-H41)+(K41-G41)&gt;=Floor,F41,MIN(Interest,Floor-(L41+K41)))</f>
        <v>#VALUE!</v>
      </c>
      <c r="K41" s="43" t="e">
        <f t="shared" ref="K41:K61" si="9">IF(E41+(L41-H41)&gt;=Floor,G41,MIN(Compensation,Floor-L41))</f>
        <v>#VALUE!</v>
      </c>
      <c r="L41" s="43" t="e">
        <f t="shared" ref="L41:L61" si="10">IF(E41&gt;=Floor,H41,MIN(Tol_Income,Floor))</f>
        <v>#VALUE!</v>
      </c>
      <c r="M41" s="45"/>
    </row>
    <row r="42" spans="1:17" x14ac:dyDescent="0.25">
      <c r="A42" s="23" t="e">
        <f>A41+1</f>
        <v>#VALUE!</v>
      </c>
      <c r="B42" s="36" t="e">
        <f t="shared" si="1"/>
        <v>#VALUE!</v>
      </c>
      <c r="C42" s="17" t="e">
        <f t="shared" si="2"/>
        <v>#VALUE!</v>
      </c>
      <c r="D42" s="43" t="e">
        <f t="shared" si="3"/>
        <v>#VALUE!</v>
      </c>
      <c r="E42" s="43" t="e">
        <f t="shared" ref="E42:E61" si="11">F42+G42+H42</f>
        <v>#VALUE!</v>
      </c>
      <c r="F42" s="43" t="e">
        <f t="shared" si="4"/>
        <v>#VALUE!</v>
      </c>
      <c r="G42" s="43" t="e">
        <f t="shared" si="5"/>
        <v>#VALUE!</v>
      </c>
      <c r="H42" s="43" t="e">
        <f t="shared" si="6"/>
        <v>#VALUE!</v>
      </c>
      <c r="I42" s="44" t="e">
        <f t="shared" si="7"/>
        <v>#VALUE!</v>
      </c>
      <c r="J42" s="43" t="e">
        <f t="shared" si="8"/>
        <v>#VALUE!</v>
      </c>
      <c r="K42" s="43" t="e">
        <f t="shared" si="9"/>
        <v>#VALUE!</v>
      </c>
      <c r="L42" s="43" t="e">
        <f t="shared" si="10"/>
        <v>#VALUE!</v>
      </c>
      <c r="M42" s="45"/>
    </row>
    <row r="43" spans="1:17" x14ac:dyDescent="0.25">
      <c r="A43" s="23" t="e">
        <f t="shared" ref="A43:A61" si="12">A42+1</f>
        <v>#VALUE!</v>
      </c>
      <c r="B43" s="36" t="e">
        <f t="shared" si="1"/>
        <v>#VALUE!</v>
      </c>
      <c r="C43" s="17" t="e">
        <f t="shared" si="2"/>
        <v>#VALUE!</v>
      </c>
      <c r="D43" s="43" t="e">
        <f t="shared" si="3"/>
        <v>#VALUE!</v>
      </c>
      <c r="E43" s="43" t="e">
        <f t="shared" si="11"/>
        <v>#VALUE!</v>
      </c>
      <c r="F43" s="43" t="e">
        <f t="shared" si="4"/>
        <v>#VALUE!</v>
      </c>
      <c r="G43" s="43" t="e">
        <f t="shared" si="5"/>
        <v>#VALUE!</v>
      </c>
      <c r="H43" s="43" t="e">
        <f t="shared" si="6"/>
        <v>#VALUE!</v>
      </c>
      <c r="I43" s="44" t="e">
        <f t="shared" si="7"/>
        <v>#VALUE!</v>
      </c>
      <c r="J43" s="43" t="e">
        <f t="shared" si="8"/>
        <v>#VALUE!</v>
      </c>
      <c r="K43" s="43" t="e">
        <f t="shared" si="9"/>
        <v>#VALUE!</v>
      </c>
      <c r="L43" s="43" t="e">
        <f t="shared" si="10"/>
        <v>#VALUE!</v>
      </c>
      <c r="M43" s="45"/>
    </row>
    <row r="44" spans="1:17" x14ac:dyDescent="0.25">
      <c r="A44" s="23" t="e">
        <f t="shared" si="12"/>
        <v>#VALUE!</v>
      </c>
      <c r="B44" s="36" t="e">
        <f t="shared" si="1"/>
        <v>#VALUE!</v>
      </c>
      <c r="C44" s="17" t="e">
        <f t="shared" si="2"/>
        <v>#VALUE!</v>
      </c>
      <c r="D44" s="43" t="e">
        <f t="shared" si="3"/>
        <v>#VALUE!</v>
      </c>
      <c r="E44" s="43" t="e">
        <f t="shared" si="11"/>
        <v>#VALUE!</v>
      </c>
      <c r="F44" s="43" t="e">
        <f t="shared" si="4"/>
        <v>#VALUE!</v>
      </c>
      <c r="G44" s="43" t="e">
        <f t="shared" si="5"/>
        <v>#VALUE!</v>
      </c>
      <c r="H44" s="43" t="e">
        <f t="shared" si="6"/>
        <v>#VALUE!</v>
      </c>
      <c r="I44" s="44" t="e">
        <f t="shared" si="7"/>
        <v>#VALUE!</v>
      </c>
      <c r="J44" s="43" t="e">
        <f t="shared" si="8"/>
        <v>#VALUE!</v>
      </c>
      <c r="K44" s="43" t="e">
        <f t="shared" si="9"/>
        <v>#VALUE!</v>
      </c>
      <c r="L44" s="43" t="e">
        <f t="shared" si="10"/>
        <v>#VALUE!</v>
      </c>
      <c r="M44" s="45"/>
    </row>
    <row r="45" spans="1:17" x14ac:dyDescent="0.25">
      <c r="A45" s="23" t="e">
        <f t="shared" si="12"/>
        <v>#VALUE!</v>
      </c>
      <c r="B45" s="36" t="e">
        <f t="shared" si="1"/>
        <v>#VALUE!</v>
      </c>
      <c r="C45" s="17" t="e">
        <f t="shared" si="2"/>
        <v>#VALUE!</v>
      </c>
      <c r="D45" s="43" t="e">
        <f t="shared" si="3"/>
        <v>#VALUE!</v>
      </c>
      <c r="E45" s="43" t="e">
        <f t="shared" si="11"/>
        <v>#VALUE!</v>
      </c>
      <c r="F45" s="43" t="e">
        <f t="shared" si="4"/>
        <v>#VALUE!</v>
      </c>
      <c r="G45" s="43" t="e">
        <f t="shared" si="5"/>
        <v>#VALUE!</v>
      </c>
      <c r="H45" s="43" t="e">
        <f t="shared" si="6"/>
        <v>#VALUE!</v>
      </c>
      <c r="I45" s="44" t="e">
        <f t="shared" si="7"/>
        <v>#VALUE!</v>
      </c>
      <c r="J45" s="43" t="e">
        <f t="shared" si="8"/>
        <v>#VALUE!</v>
      </c>
      <c r="K45" s="43" t="e">
        <f t="shared" si="9"/>
        <v>#VALUE!</v>
      </c>
      <c r="L45" s="43" t="e">
        <f t="shared" si="10"/>
        <v>#VALUE!</v>
      </c>
      <c r="M45" s="45"/>
    </row>
    <row r="46" spans="1:17" x14ac:dyDescent="0.25">
      <c r="A46" s="23" t="e">
        <f t="shared" si="12"/>
        <v>#VALUE!</v>
      </c>
      <c r="B46" s="36" t="e">
        <f t="shared" si="1"/>
        <v>#VALUE!</v>
      </c>
      <c r="C46" s="17" t="e">
        <f t="shared" si="2"/>
        <v>#VALUE!</v>
      </c>
      <c r="D46" s="43" t="e">
        <f t="shared" si="3"/>
        <v>#VALUE!</v>
      </c>
      <c r="E46" s="43" t="e">
        <f t="shared" si="11"/>
        <v>#VALUE!</v>
      </c>
      <c r="F46" s="43" t="e">
        <f t="shared" si="4"/>
        <v>#VALUE!</v>
      </c>
      <c r="G46" s="43" t="e">
        <f t="shared" si="5"/>
        <v>#VALUE!</v>
      </c>
      <c r="H46" s="43" t="e">
        <f t="shared" si="6"/>
        <v>#VALUE!</v>
      </c>
      <c r="I46" s="44" t="e">
        <f t="shared" si="7"/>
        <v>#VALUE!</v>
      </c>
      <c r="J46" s="43" t="e">
        <f t="shared" si="8"/>
        <v>#VALUE!</v>
      </c>
      <c r="K46" s="43" t="e">
        <f t="shared" si="9"/>
        <v>#VALUE!</v>
      </c>
      <c r="L46" s="43" t="e">
        <f t="shared" si="10"/>
        <v>#VALUE!</v>
      </c>
      <c r="M46" s="45"/>
    </row>
    <row r="47" spans="1:17" x14ac:dyDescent="0.25">
      <c r="A47" s="23" t="e">
        <f t="shared" si="12"/>
        <v>#VALUE!</v>
      </c>
      <c r="B47" s="36" t="e">
        <f t="shared" si="1"/>
        <v>#VALUE!</v>
      </c>
      <c r="C47" s="17" t="e">
        <f t="shared" si="2"/>
        <v>#VALUE!</v>
      </c>
      <c r="D47" s="43" t="e">
        <f t="shared" si="3"/>
        <v>#VALUE!</v>
      </c>
      <c r="E47" s="43" t="e">
        <f t="shared" si="11"/>
        <v>#VALUE!</v>
      </c>
      <c r="F47" s="43" t="e">
        <f t="shared" si="4"/>
        <v>#VALUE!</v>
      </c>
      <c r="G47" s="43" t="e">
        <f t="shared" si="5"/>
        <v>#VALUE!</v>
      </c>
      <c r="H47" s="43" t="e">
        <f t="shared" si="6"/>
        <v>#VALUE!</v>
      </c>
      <c r="I47" s="44" t="e">
        <f t="shared" si="7"/>
        <v>#VALUE!</v>
      </c>
      <c r="J47" s="43" t="e">
        <f t="shared" si="8"/>
        <v>#VALUE!</v>
      </c>
      <c r="K47" s="43" t="e">
        <f t="shared" si="9"/>
        <v>#VALUE!</v>
      </c>
      <c r="L47" s="43" t="e">
        <f t="shared" si="10"/>
        <v>#VALUE!</v>
      </c>
      <c r="M47" s="45"/>
    </row>
    <row r="48" spans="1:17" x14ac:dyDescent="0.25">
      <c r="A48" s="23" t="e">
        <f t="shared" si="12"/>
        <v>#VALUE!</v>
      </c>
      <c r="B48" s="36" t="e">
        <f t="shared" si="1"/>
        <v>#VALUE!</v>
      </c>
      <c r="C48" s="17" t="e">
        <f t="shared" si="2"/>
        <v>#VALUE!</v>
      </c>
      <c r="D48" s="43" t="e">
        <f t="shared" si="3"/>
        <v>#VALUE!</v>
      </c>
      <c r="E48" s="43" t="e">
        <f t="shared" si="11"/>
        <v>#VALUE!</v>
      </c>
      <c r="F48" s="43" t="e">
        <f t="shared" si="4"/>
        <v>#VALUE!</v>
      </c>
      <c r="G48" s="43" t="e">
        <f t="shared" si="5"/>
        <v>#VALUE!</v>
      </c>
      <c r="H48" s="43" t="e">
        <f t="shared" si="6"/>
        <v>#VALUE!</v>
      </c>
      <c r="I48" s="44" t="e">
        <f t="shared" si="7"/>
        <v>#VALUE!</v>
      </c>
      <c r="J48" s="43" t="e">
        <f t="shared" si="8"/>
        <v>#VALUE!</v>
      </c>
      <c r="K48" s="43" t="e">
        <f t="shared" si="9"/>
        <v>#VALUE!</v>
      </c>
      <c r="L48" s="43" t="e">
        <f t="shared" si="10"/>
        <v>#VALUE!</v>
      </c>
      <c r="M48" s="45"/>
    </row>
    <row r="49" spans="1:13" x14ac:dyDescent="0.25">
      <c r="A49" s="23" t="e">
        <f t="shared" si="12"/>
        <v>#VALUE!</v>
      </c>
      <c r="B49" s="36" t="e">
        <f t="shared" si="1"/>
        <v>#VALUE!</v>
      </c>
      <c r="C49" s="17" t="e">
        <f t="shared" si="2"/>
        <v>#VALUE!</v>
      </c>
      <c r="D49" s="43" t="e">
        <f t="shared" si="3"/>
        <v>#VALUE!</v>
      </c>
      <c r="E49" s="43" t="e">
        <f t="shared" si="11"/>
        <v>#VALUE!</v>
      </c>
      <c r="F49" s="43" t="e">
        <f t="shared" si="4"/>
        <v>#VALUE!</v>
      </c>
      <c r="G49" s="43" t="e">
        <f t="shared" si="5"/>
        <v>#VALUE!</v>
      </c>
      <c r="H49" s="43" t="e">
        <f t="shared" si="6"/>
        <v>#VALUE!</v>
      </c>
      <c r="I49" s="44" t="e">
        <f t="shared" si="7"/>
        <v>#VALUE!</v>
      </c>
      <c r="J49" s="43" t="e">
        <f t="shared" si="8"/>
        <v>#VALUE!</v>
      </c>
      <c r="K49" s="43" t="e">
        <f t="shared" si="9"/>
        <v>#VALUE!</v>
      </c>
      <c r="L49" s="43" t="e">
        <f t="shared" si="10"/>
        <v>#VALUE!</v>
      </c>
      <c r="M49" s="45"/>
    </row>
    <row r="50" spans="1:13" x14ac:dyDescent="0.25">
      <c r="A50" s="23" t="e">
        <f t="shared" si="12"/>
        <v>#VALUE!</v>
      </c>
      <c r="B50" s="36" t="e">
        <f t="shared" si="1"/>
        <v>#VALUE!</v>
      </c>
      <c r="C50" s="17" t="e">
        <f t="shared" si="2"/>
        <v>#VALUE!</v>
      </c>
      <c r="D50" s="43" t="e">
        <f t="shared" si="3"/>
        <v>#VALUE!</v>
      </c>
      <c r="E50" s="43" t="e">
        <f t="shared" si="11"/>
        <v>#VALUE!</v>
      </c>
      <c r="F50" s="43" t="e">
        <f t="shared" si="4"/>
        <v>#VALUE!</v>
      </c>
      <c r="G50" s="43" t="e">
        <f t="shared" si="5"/>
        <v>#VALUE!</v>
      </c>
      <c r="H50" s="43" t="e">
        <f t="shared" si="6"/>
        <v>#VALUE!</v>
      </c>
      <c r="I50" s="44" t="e">
        <f t="shared" si="7"/>
        <v>#VALUE!</v>
      </c>
      <c r="J50" s="43" t="e">
        <f t="shared" si="8"/>
        <v>#VALUE!</v>
      </c>
      <c r="K50" s="43" t="e">
        <f t="shared" si="9"/>
        <v>#VALUE!</v>
      </c>
      <c r="L50" s="43" t="e">
        <f t="shared" si="10"/>
        <v>#VALUE!</v>
      </c>
      <c r="M50" s="45"/>
    </row>
    <row r="51" spans="1:13" x14ac:dyDescent="0.25">
      <c r="A51" s="23" t="e">
        <f t="shared" si="12"/>
        <v>#VALUE!</v>
      </c>
      <c r="B51" s="36" t="e">
        <f t="shared" si="1"/>
        <v>#VALUE!</v>
      </c>
      <c r="C51" s="17" t="e">
        <f t="shared" si="2"/>
        <v>#VALUE!</v>
      </c>
      <c r="D51" s="43" t="e">
        <f t="shared" si="3"/>
        <v>#VALUE!</v>
      </c>
      <c r="E51" s="43" t="e">
        <f t="shared" si="11"/>
        <v>#VALUE!</v>
      </c>
      <c r="F51" s="43" t="e">
        <f t="shared" si="4"/>
        <v>#VALUE!</v>
      </c>
      <c r="G51" s="43" t="e">
        <f t="shared" si="5"/>
        <v>#VALUE!</v>
      </c>
      <c r="H51" s="43" t="e">
        <f t="shared" si="6"/>
        <v>#VALUE!</v>
      </c>
      <c r="I51" s="44" t="e">
        <f t="shared" si="7"/>
        <v>#VALUE!</v>
      </c>
      <c r="J51" s="43" t="e">
        <f t="shared" si="8"/>
        <v>#VALUE!</v>
      </c>
      <c r="K51" s="43" t="e">
        <f t="shared" si="9"/>
        <v>#VALUE!</v>
      </c>
      <c r="L51" s="43" t="e">
        <f t="shared" si="10"/>
        <v>#VALUE!</v>
      </c>
      <c r="M51" s="45"/>
    </row>
    <row r="52" spans="1:13" x14ac:dyDescent="0.25">
      <c r="A52" s="23" t="e">
        <f t="shared" si="12"/>
        <v>#VALUE!</v>
      </c>
      <c r="B52" s="36" t="e">
        <f t="shared" si="1"/>
        <v>#VALUE!</v>
      </c>
      <c r="C52" s="17" t="e">
        <f t="shared" si="2"/>
        <v>#VALUE!</v>
      </c>
      <c r="D52" s="43" t="e">
        <f t="shared" si="3"/>
        <v>#VALUE!</v>
      </c>
      <c r="E52" s="43" t="e">
        <f t="shared" si="11"/>
        <v>#VALUE!</v>
      </c>
      <c r="F52" s="43" t="e">
        <f t="shared" si="4"/>
        <v>#VALUE!</v>
      </c>
      <c r="G52" s="43" t="e">
        <f t="shared" si="5"/>
        <v>#VALUE!</v>
      </c>
      <c r="H52" s="43" t="e">
        <f t="shared" si="6"/>
        <v>#VALUE!</v>
      </c>
      <c r="I52" s="44" t="e">
        <f t="shared" si="7"/>
        <v>#VALUE!</v>
      </c>
      <c r="J52" s="43" t="e">
        <f t="shared" si="8"/>
        <v>#VALUE!</v>
      </c>
      <c r="K52" s="43" t="e">
        <f t="shared" si="9"/>
        <v>#VALUE!</v>
      </c>
      <c r="L52" s="43" t="e">
        <f t="shared" si="10"/>
        <v>#VALUE!</v>
      </c>
      <c r="M52" s="45"/>
    </row>
    <row r="53" spans="1:13" x14ac:dyDescent="0.25">
      <c r="A53" s="23" t="e">
        <f t="shared" si="12"/>
        <v>#VALUE!</v>
      </c>
      <c r="B53" s="36" t="e">
        <f t="shared" si="1"/>
        <v>#VALUE!</v>
      </c>
      <c r="C53" s="17" t="e">
        <f t="shared" si="2"/>
        <v>#VALUE!</v>
      </c>
      <c r="D53" s="43" t="e">
        <f t="shared" si="3"/>
        <v>#VALUE!</v>
      </c>
      <c r="E53" s="43" t="e">
        <f t="shared" si="11"/>
        <v>#VALUE!</v>
      </c>
      <c r="F53" s="43" t="e">
        <f t="shared" si="4"/>
        <v>#VALUE!</v>
      </c>
      <c r="G53" s="43" t="e">
        <f t="shared" si="5"/>
        <v>#VALUE!</v>
      </c>
      <c r="H53" s="43" t="e">
        <f t="shared" si="6"/>
        <v>#VALUE!</v>
      </c>
      <c r="I53" s="44" t="e">
        <f t="shared" si="7"/>
        <v>#VALUE!</v>
      </c>
      <c r="J53" s="43" t="e">
        <f t="shared" si="8"/>
        <v>#VALUE!</v>
      </c>
      <c r="K53" s="43" t="e">
        <f t="shared" si="9"/>
        <v>#VALUE!</v>
      </c>
      <c r="L53" s="43" t="e">
        <f t="shared" si="10"/>
        <v>#VALUE!</v>
      </c>
      <c r="M53" s="45"/>
    </row>
    <row r="54" spans="1:13" x14ac:dyDescent="0.25">
      <c r="A54" s="23" t="e">
        <f t="shared" si="12"/>
        <v>#VALUE!</v>
      </c>
      <c r="B54" s="36" t="e">
        <f t="shared" si="1"/>
        <v>#VALUE!</v>
      </c>
      <c r="C54" s="17" t="e">
        <f t="shared" si="2"/>
        <v>#VALUE!</v>
      </c>
      <c r="D54" s="43" t="e">
        <f t="shared" si="3"/>
        <v>#VALUE!</v>
      </c>
      <c r="E54" s="43" t="e">
        <f t="shared" si="11"/>
        <v>#VALUE!</v>
      </c>
      <c r="F54" s="43" t="e">
        <f t="shared" si="4"/>
        <v>#VALUE!</v>
      </c>
      <c r="G54" s="43" t="e">
        <f t="shared" si="5"/>
        <v>#VALUE!</v>
      </c>
      <c r="H54" s="43" t="e">
        <f t="shared" si="6"/>
        <v>#VALUE!</v>
      </c>
      <c r="I54" s="44" t="e">
        <f t="shared" si="7"/>
        <v>#VALUE!</v>
      </c>
      <c r="J54" s="43" t="e">
        <f t="shared" si="8"/>
        <v>#VALUE!</v>
      </c>
      <c r="K54" s="43" t="e">
        <f t="shared" si="9"/>
        <v>#VALUE!</v>
      </c>
      <c r="L54" s="43" t="e">
        <f t="shared" si="10"/>
        <v>#VALUE!</v>
      </c>
      <c r="M54" s="45"/>
    </row>
    <row r="55" spans="1:13" x14ac:dyDescent="0.25">
      <c r="A55" s="23" t="e">
        <f t="shared" si="12"/>
        <v>#VALUE!</v>
      </c>
      <c r="B55" s="36" t="e">
        <f t="shared" si="1"/>
        <v>#VALUE!</v>
      </c>
      <c r="C55" s="17" t="e">
        <f t="shared" si="2"/>
        <v>#VALUE!</v>
      </c>
      <c r="D55" s="43" t="e">
        <f t="shared" si="3"/>
        <v>#VALUE!</v>
      </c>
      <c r="E55" s="43" t="e">
        <f t="shared" si="11"/>
        <v>#VALUE!</v>
      </c>
      <c r="F55" s="43" t="e">
        <f t="shared" si="4"/>
        <v>#VALUE!</v>
      </c>
      <c r="G55" s="43" t="e">
        <f t="shared" si="5"/>
        <v>#VALUE!</v>
      </c>
      <c r="H55" s="43" t="e">
        <f t="shared" si="6"/>
        <v>#VALUE!</v>
      </c>
      <c r="I55" s="44" t="e">
        <f t="shared" si="7"/>
        <v>#VALUE!</v>
      </c>
      <c r="J55" s="43" t="e">
        <f t="shared" si="8"/>
        <v>#VALUE!</v>
      </c>
      <c r="K55" s="43" t="e">
        <f t="shared" si="9"/>
        <v>#VALUE!</v>
      </c>
      <c r="L55" s="43" t="e">
        <f t="shared" si="10"/>
        <v>#VALUE!</v>
      </c>
      <c r="M55" s="45"/>
    </row>
    <row r="56" spans="1:13" x14ac:dyDescent="0.25">
      <c r="A56" s="23" t="e">
        <f t="shared" si="12"/>
        <v>#VALUE!</v>
      </c>
      <c r="B56" s="36" t="e">
        <f t="shared" si="1"/>
        <v>#VALUE!</v>
      </c>
      <c r="C56" s="17" t="e">
        <f t="shared" si="2"/>
        <v>#VALUE!</v>
      </c>
      <c r="D56" s="43" t="e">
        <f t="shared" si="3"/>
        <v>#VALUE!</v>
      </c>
      <c r="E56" s="43" t="e">
        <f t="shared" si="11"/>
        <v>#VALUE!</v>
      </c>
      <c r="F56" s="43" t="e">
        <f t="shared" si="4"/>
        <v>#VALUE!</v>
      </c>
      <c r="G56" s="43" t="e">
        <f t="shared" si="5"/>
        <v>#VALUE!</v>
      </c>
      <c r="H56" s="43" t="e">
        <f t="shared" si="6"/>
        <v>#VALUE!</v>
      </c>
      <c r="I56" s="44" t="e">
        <f t="shared" si="7"/>
        <v>#VALUE!</v>
      </c>
      <c r="J56" s="43" t="e">
        <f t="shared" si="8"/>
        <v>#VALUE!</v>
      </c>
      <c r="K56" s="43" t="e">
        <f t="shared" si="9"/>
        <v>#VALUE!</v>
      </c>
      <c r="L56" s="43" t="e">
        <f t="shared" si="10"/>
        <v>#VALUE!</v>
      </c>
      <c r="M56" s="45"/>
    </row>
    <row r="57" spans="1:13" x14ac:dyDescent="0.25">
      <c r="A57" s="23" t="e">
        <f t="shared" si="12"/>
        <v>#VALUE!</v>
      </c>
      <c r="B57" s="36" t="e">
        <f t="shared" si="1"/>
        <v>#VALUE!</v>
      </c>
      <c r="C57" s="17" t="e">
        <f t="shared" si="2"/>
        <v>#VALUE!</v>
      </c>
      <c r="D57" s="43" t="e">
        <f t="shared" si="3"/>
        <v>#VALUE!</v>
      </c>
      <c r="E57" s="43" t="e">
        <f t="shared" si="11"/>
        <v>#VALUE!</v>
      </c>
      <c r="F57" s="43" t="e">
        <f t="shared" si="4"/>
        <v>#VALUE!</v>
      </c>
      <c r="G57" s="43" t="e">
        <f t="shared" si="5"/>
        <v>#VALUE!</v>
      </c>
      <c r="H57" s="43" t="e">
        <f t="shared" si="6"/>
        <v>#VALUE!</v>
      </c>
      <c r="I57" s="44" t="e">
        <f t="shared" si="7"/>
        <v>#VALUE!</v>
      </c>
      <c r="J57" s="43" t="e">
        <f t="shared" si="8"/>
        <v>#VALUE!</v>
      </c>
      <c r="K57" s="43" t="e">
        <f t="shared" si="9"/>
        <v>#VALUE!</v>
      </c>
      <c r="L57" s="43" t="e">
        <f t="shared" si="10"/>
        <v>#VALUE!</v>
      </c>
      <c r="M57" s="45"/>
    </row>
    <row r="58" spans="1:13" x14ac:dyDescent="0.25">
      <c r="A58" s="23" t="e">
        <f>A57+1</f>
        <v>#VALUE!</v>
      </c>
      <c r="B58" s="36" t="e">
        <f t="shared" si="1"/>
        <v>#VALUE!</v>
      </c>
      <c r="C58" s="17" t="e">
        <f t="shared" si="2"/>
        <v>#VALUE!</v>
      </c>
      <c r="D58" s="43" t="e">
        <f t="shared" si="3"/>
        <v>#VALUE!</v>
      </c>
      <c r="E58" s="43" t="e">
        <f t="shared" si="11"/>
        <v>#VALUE!</v>
      </c>
      <c r="F58" s="43" t="e">
        <f t="shared" si="4"/>
        <v>#VALUE!</v>
      </c>
      <c r="G58" s="43" t="e">
        <f t="shared" si="5"/>
        <v>#VALUE!</v>
      </c>
      <c r="H58" s="43" t="e">
        <f t="shared" si="6"/>
        <v>#VALUE!</v>
      </c>
      <c r="I58" s="44" t="e">
        <f t="shared" si="7"/>
        <v>#VALUE!</v>
      </c>
      <c r="J58" s="43" t="e">
        <f t="shared" si="8"/>
        <v>#VALUE!</v>
      </c>
      <c r="K58" s="43" t="e">
        <f t="shared" si="9"/>
        <v>#VALUE!</v>
      </c>
      <c r="L58" s="43" t="e">
        <f t="shared" si="10"/>
        <v>#VALUE!</v>
      </c>
      <c r="M58" s="45"/>
    </row>
    <row r="59" spans="1:13" x14ac:dyDescent="0.25">
      <c r="A59" s="23" t="e">
        <f t="shared" si="12"/>
        <v>#VALUE!</v>
      </c>
      <c r="B59" s="36" t="e">
        <f t="shared" si="1"/>
        <v>#VALUE!</v>
      </c>
      <c r="C59" s="17" t="e">
        <f t="shared" si="2"/>
        <v>#VALUE!</v>
      </c>
      <c r="D59" s="43" t="e">
        <f t="shared" si="3"/>
        <v>#VALUE!</v>
      </c>
      <c r="E59" s="43" t="e">
        <f t="shared" si="11"/>
        <v>#VALUE!</v>
      </c>
      <c r="F59" s="43" t="e">
        <f t="shared" si="4"/>
        <v>#VALUE!</v>
      </c>
      <c r="G59" s="43" t="e">
        <f t="shared" si="5"/>
        <v>#VALUE!</v>
      </c>
      <c r="H59" s="43" t="e">
        <f t="shared" si="6"/>
        <v>#VALUE!</v>
      </c>
      <c r="I59" s="44" t="e">
        <f t="shared" si="7"/>
        <v>#VALUE!</v>
      </c>
      <c r="J59" s="43" t="e">
        <f t="shared" si="8"/>
        <v>#VALUE!</v>
      </c>
      <c r="K59" s="43" t="e">
        <f t="shared" si="9"/>
        <v>#VALUE!</v>
      </c>
      <c r="L59" s="43" t="e">
        <f t="shared" si="10"/>
        <v>#VALUE!</v>
      </c>
      <c r="M59" s="45"/>
    </row>
    <row r="60" spans="1:13" x14ac:dyDescent="0.25">
      <c r="A60" s="23" t="e">
        <f t="shared" si="12"/>
        <v>#VALUE!</v>
      </c>
      <c r="B60" s="36" t="e">
        <f t="shared" si="1"/>
        <v>#VALUE!</v>
      </c>
      <c r="C60" s="17" t="e">
        <f t="shared" si="2"/>
        <v>#VALUE!</v>
      </c>
      <c r="D60" s="43" t="e">
        <f t="shared" si="3"/>
        <v>#VALUE!</v>
      </c>
      <c r="E60" s="43" t="e">
        <f t="shared" si="11"/>
        <v>#VALUE!</v>
      </c>
      <c r="F60" s="43" t="e">
        <f t="shared" si="4"/>
        <v>#VALUE!</v>
      </c>
      <c r="G60" s="43" t="e">
        <f t="shared" si="5"/>
        <v>#VALUE!</v>
      </c>
      <c r="H60" s="43" t="e">
        <f t="shared" si="6"/>
        <v>#VALUE!</v>
      </c>
      <c r="I60" s="44" t="e">
        <f t="shared" si="7"/>
        <v>#VALUE!</v>
      </c>
      <c r="J60" s="43" t="e">
        <f t="shared" si="8"/>
        <v>#VALUE!</v>
      </c>
      <c r="K60" s="43" t="e">
        <f t="shared" si="9"/>
        <v>#VALUE!</v>
      </c>
      <c r="L60" s="43" t="e">
        <f t="shared" si="10"/>
        <v>#VALUE!</v>
      </c>
      <c r="M60" s="45"/>
    </row>
    <row r="61" spans="1:13" x14ac:dyDescent="0.25">
      <c r="A61" s="23" t="e">
        <f t="shared" si="12"/>
        <v>#VALUE!</v>
      </c>
      <c r="B61" s="36" t="e">
        <f t="shared" si="1"/>
        <v>#VALUE!</v>
      </c>
      <c r="C61" s="17" t="e">
        <f t="shared" si="2"/>
        <v>#VALUE!</v>
      </c>
      <c r="D61" s="43" t="e">
        <f t="shared" si="3"/>
        <v>#VALUE!</v>
      </c>
      <c r="E61" s="43" t="e">
        <f t="shared" si="11"/>
        <v>#VALUE!</v>
      </c>
      <c r="F61" s="43" t="e">
        <f t="shared" si="4"/>
        <v>#VALUE!</v>
      </c>
      <c r="G61" s="43" t="e">
        <f t="shared" si="5"/>
        <v>#VALUE!</v>
      </c>
      <c r="H61" s="43" t="e">
        <f t="shared" si="6"/>
        <v>#VALUE!</v>
      </c>
      <c r="I61" s="44" t="e">
        <f t="shared" si="7"/>
        <v>#VALUE!</v>
      </c>
      <c r="J61" s="43" t="e">
        <f t="shared" si="8"/>
        <v>#VALUE!</v>
      </c>
      <c r="K61" s="43" t="e">
        <f t="shared" si="9"/>
        <v>#VALUE!</v>
      </c>
      <c r="L61" s="43" t="e">
        <f t="shared" si="10"/>
        <v>#VALUE!</v>
      </c>
      <c r="M61" s="45"/>
    </row>
    <row r="619" spans="17:17" x14ac:dyDescent="0.25">
      <c r="Q619" s="73">
        <f>最早可退休日期!O1612</f>
        <v>0</v>
      </c>
    </row>
    <row r="620" spans="17:17" x14ac:dyDescent="0.25">
      <c r="Q620" s="80">
        <f>最早可退休日期!O1613</f>
        <v>0</v>
      </c>
    </row>
    <row r="621" spans="17:17" x14ac:dyDescent="0.25">
      <c r="Q621" s="83">
        <f>最早可退休日期!O1614</f>
        <v>0</v>
      </c>
    </row>
    <row r="622" spans="17:17" x14ac:dyDescent="0.25">
      <c r="Q622" s="83">
        <f>最早可退休日期!O1615</f>
        <v>0</v>
      </c>
    </row>
    <row r="623" spans="17:17" x14ac:dyDescent="0.25">
      <c r="Q623" s="83">
        <f>最早可退休日期!O1616</f>
        <v>0</v>
      </c>
    </row>
    <row r="624" spans="17:17" x14ac:dyDescent="0.25">
      <c r="Q624" s="83">
        <f>最早可退休日期!O1617</f>
        <v>0</v>
      </c>
    </row>
    <row r="625" spans="17:17" x14ac:dyDescent="0.25">
      <c r="Q625" s="83">
        <f>最早可退休日期!O1618</f>
        <v>0</v>
      </c>
    </row>
    <row r="626" spans="17:17" x14ac:dyDescent="0.25">
      <c r="Q626" s="83">
        <f>最早可退休日期!O1619</f>
        <v>0</v>
      </c>
    </row>
    <row r="627" spans="17:17" x14ac:dyDescent="0.25">
      <c r="Q627" s="83">
        <f>最早可退休日期!O1620</f>
        <v>0</v>
      </c>
    </row>
    <row r="628" spans="17:17" x14ac:dyDescent="0.25">
      <c r="Q628" s="83">
        <f>最早可退休日期!O1621</f>
        <v>0</v>
      </c>
    </row>
    <row r="629" spans="17:17" x14ac:dyDescent="0.25">
      <c r="Q629" s="83">
        <f>最早可退休日期!O1622</f>
        <v>0</v>
      </c>
    </row>
    <row r="630" spans="17:17" x14ac:dyDescent="0.25">
      <c r="Q630" s="83">
        <f>最早可退休日期!O1623</f>
        <v>0</v>
      </c>
    </row>
    <row r="631" spans="17:17" x14ac:dyDescent="0.25">
      <c r="Q631" s="83">
        <f>最早可退休日期!O1624</f>
        <v>0</v>
      </c>
    </row>
    <row r="632" spans="17:17" x14ac:dyDescent="0.25">
      <c r="Q632" s="83">
        <f>最早可退休日期!O1625</f>
        <v>0</v>
      </c>
    </row>
    <row r="633" spans="17:17" x14ac:dyDescent="0.25">
      <c r="Q633" s="82">
        <f>最早可退休日期!O1626</f>
        <v>0</v>
      </c>
    </row>
  </sheetData>
  <protectedRanges>
    <protectedRange algorithmName="SHA-512" hashValue="k8Gy2rcg8onB6ua+FsIduRRy/JmxhaMcGWMRGwwqdyPMxcp4uNS9NziNYIy5bb2m+u/Vd6UpnjsbRI/jak/32w==" saltValue="TzkOnRkc28ZdNLIvxSY2rQ==" spinCount="100000" sqref="B17" name="範圍1"/>
  </protectedRanges>
  <mergeCells count="42">
    <mergeCell ref="J26:K26"/>
    <mergeCell ref="J23:K24"/>
    <mergeCell ref="L23:L24"/>
    <mergeCell ref="J19:K19"/>
    <mergeCell ref="J20:K20"/>
    <mergeCell ref="J21:K21"/>
    <mergeCell ref="J22:K22"/>
    <mergeCell ref="J18:K18"/>
    <mergeCell ref="A7:B7"/>
    <mergeCell ref="H9:H10"/>
    <mergeCell ref="A4:B4"/>
    <mergeCell ref="A9:A15"/>
    <mergeCell ref="H12:H15"/>
    <mergeCell ref="F11:G11"/>
    <mergeCell ref="D11:E11"/>
    <mergeCell ref="I10:I13"/>
    <mergeCell ref="F9:G10"/>
    <mergeCell ref="F12:F14"/>
    <mergeCell ref="G12:G14"/>
    <mergeCell ref="B18:D18"/>
    <mergeCell ref="F17:G17"/>
    <mergeCell ref="J9:K9"/>
    <mergeCell ref="J11:K11"/>
    <mergeCell ref="A2:B2"/>
    <mergeCell ref="A1:B1"/>
    <mergeCell ref="C17:D17"/>
    <mergeCell ref="D12:D14"/>
    <mergeCell ref="A5:B5"/>
    <mergeCell ref="A6:B6"/>
    <mergeCell ref="D9:E10"/>
    <mergeCell ref="E12:E14"/>
    <mergeCell ref="I39:L39"/>
    <mergeCell ref="A39:A40"/>
    <mergeCell ref="B39:B40"/>
    <mergeCell ref="C39:C40"/>
    <mergeCell ref="E39:H39"/>
    <mergeCell ref="D39:D40"/>
    <mergeCell ref="J13:K13"/>
    <mergeCell ref="J10:K10"/>
    <mergeCell ref="J12:K12"/>
    <mergeCell ref="J14:K14"/>
    <mergeCell ref="J15:K15"/>
  </mergeCells>
  <phoneticPr fontId="1" type="noConversion"/>
  <conditionalFormatting sqref="D15:G15 H11">
    <cfRule type="expression" dxfId="43" priority="64">
      <formula>D11="符合"</formula>
    </cfRule>
  </conditionalFormatting>
  <conditionalFormatting sqref="L19 L21:L23 C35 E35 G35 I35">
    <cfRule type="expression" dxfId="42" priority="65">
      <formula>$E$9="是"</formula>
    </cfRule>
  </conditionalFormatting>
  <conditionalFormatting sqref="B17">
    <cfRule type="expression" dxfId="41" priority="62">
      <formula>"$I$6=""是"""</formula>
    </cfRule>
  </conditionalFormatting>
  <conditionalFormatting sqref="E36">
    <cfRule type="expression" dxfId="40" priority="50">
      <formula>$E$9="是"</formula>
    </cfRule>
  </conditionalFormatting>
  <conditionalFormatting sqref="E37">
    <cfRule type="expression" dxfId="39" priority="48">
      <formula>$E$9="是"</formula>
    </cfRule>
  </conditionalFormatting>
  <conditionalFormatting sqref="F11:G11">
    <cfRule type="expression" dxfId="38" priority="33">
      <formula>F11="符合"</formula>
    </cfRule>
  </conditionalFormatting>
  <conditionalFormatting sqref="D11:E11">
    <cfRule type="expression" dxfId="37" priority="32">
      <formula>D11="符合"</formula>
    </cfRule>
  </conditionalFormatting>
  <conditionalFormatting sqref="J2">
    <cfRule type="expression" dxfId="36" priority="68">
      <formula>#REF!="不可以減額"</formula>
    </cfRule>
  </conditionalFormatting>
  <conditionalFormatting sqref="I14">
    <cfRule type="expression" dxfId="35" priority="31">
      <formula>I14="符合"</formula>
    </cfRule>
  </conditionalFormatting>
  <conditionalFormatting sqref="B19:B33">
    <cfRule type="expression" dxfId="34" priority="30">
      <formula>"$I$6=""是"""</formula>
    </cfRule>
  </conditionalFormatting>
  <conditionalFormatting sqref="A25">
    <cfRule type="expression" dxfId="33" priority="92">
      <formula>$I$4&lt;=108</formula>
    </cfRule>
  </conditionalFormatting>
  <conditionalFormatting sqref="A27 C35 E35:E37 G35 I35">
    <cfRule type="expression" dxfId="32" priority="93">
      <formula>$I$4&lt;=110</formula>
    </cfRule>
  </conditionalFormatting>
  <conditionalFormatting sqref="A31">
    <cfRule type="expression" dxfId="31" priority="95">
      <formula>$I$4&lt;=114</formula>
    </cfRule>
  </conditionalFormatting>
  <conditionalFormatting sqref="A32">
    <cfRule type="expression" dxfId="30" priority="96">
      <formula>$I$4&lt;=115</formula>
    </cfRule>
  </conditionalFormatting>
  <conditionalFormatting sqref="D2:E2">
    <cfRule type="expression" dxfId="29" priority="97">
      <formula>$G$5+$H$5+$I$5=0</formula>
    </cfRule>
  </conditionalFormatting>
  <conditionalFormatting sqref="K2:L2">
    <cfRule type="expression" dxfId="28" priority="98">
      <formula>OR($L$5=0,$C$6&gt;108,AND($C$6=108,$D$6&gt;=7))</formula>
    </cfRule>
  </conditionalFormatting>
  <conditionalFormatting sqref="H30">
    <cfRule type="expression" dxfId="27" priority="24">
      <formula>$C$2="是"</formula>
    </cfRule>
  </conditionalFormatting>
  <conditionalFormatting sqref="G30">
    <cfRule type="expression" dxfId="26" priority="23">
      <formula>$C$2="是"</formula>
    </cfRule>
  </conditionalFormatting>
  <conditionalFormatting sqref="G35">
    <cfRule type="cellIs" dxfId="25" priority="21" operator="greaterThan">
      <formula>0</formula>
    </cfRule>
  </conditionalFormatting>
  <conditionalFormatting sqref="I35">
    <cfRule type="cellIs" dxfId="24" priority="20" operator="greaterThan">
      <formula>0</formula>
    </cfRule>
  </conditionalFormatting>
  <conditionalFormatting sqref="L26">
    <cfRule type="expression" dxfId="23" priority="18">
      <formula>$E$9="是"</formula>
    </cfRule>
  </conditionalFormatting>
  <conditionalFormatting sqref="L26">
    <cfRule type="expression" dxfId="22" priority="19">
      <formula>$I$4&lt;=110</formula>
    </cfRule>
  </conditionalFormatting>
  <conditionalFormatting sqref="L26">
    <cfRule type="cellIs" dxfId="21" priority="17" operator="greaterThan">
      <formula>0</formula>
    </cfRule>
  </conditionalFormatting>
  <conditionalFormatting sqref="I23:I33">
    <cfRule type="expression" dxfId="20" priority="15">
      <formula>$E$9="是"</formula>
    </cfRule>
  </conditionalFormatting>
  <conditionalFormatting sqref="Q620">
    <cfRule type="expression" dxfId="19" priority="14">
      <formula>IF($C$2="是",1,IF($C$6&lt;=108,5,IF($C$6&gt;=118,15,$C$6-103)))&gt;=U620</formula>
    </cfRule>
  </conditionalFormatting>
  <conditionalFormatting sqref="Q621">
    <cfRule type="expression" dxfId="18" priority="13">
      <formula>IF($C$2="是",1,IF($C$6&lt;=108,5,IF($C$6&gt;=118,15,$C$6-103)))&gt;=U621</formula>
    </cfRule>
  </conditionalFormatting>
  <conditionalFormatting sqref="Q622">
    <cfRule type="expression" dxfId="17" priority="12">
      <formula>IF($C$2="是",1,IF($C$6&lt;=108,5,IF($C$6&gt;=118,15,$C$6-103)))&gt;=U622</formula>
    </cfRule>
  </conditionalFormatting>
  <conditionalFormatting sqref="Q623">
    <cfRule type="expression" dxfId="16" priority="11">
      <formula>IF($C$2="是",1,IF($C$6&lt;=108,5,IF($C$6&gt;=118,15,$C$6-103)))&gt;=U623</formula>
    </cfRule>
  </conditionalFormatting>
  <conditionalFormatting sqref="Q624">
    <cfRule type="expression" dxfId="15" priority="10">
      <formula>IF($C$2="是",1,IF($C$6&lt;=108,5,IF($C$6&gt;=118,15,$C$6-103)))&gt;=U624</formula>
    </cfRule>
  </conditionalFormatting>
  <conditionalFormatting sqref="Q625">
    <cfRule type="expression" dxfId="14" priority="9">
      <formula>IF($C$2="是",1,IF($C$6&lt;=108,5,IF($C$6&gt;=118,15,$C$6-103)))&gt;=U625</formula>
    </cfRule>
  </conditionalFormatting>
  <conditionalFormatting sqref="Q626">
    <cfRule type="expression" dxfId="13" priority="8">
      <formula>IF($C$2="是",1,IF($C$6&lt;=108,5,IF($C$6&gt;=118,15,$C$6-103)))&gt;=U626</formula>
    </cfRule>
  </conditionalFormatting>
  <conditionalFormatting sqref="Q627">
    <cfRule type="expression" dxfId="12" priority="7">
      <formula>IF($C$2="是",1,IF($C$6&lt;=108,5,IF($C$6&gt;=118,15,$C$6-103)))&gt;=U627</formula>
    </cfRule>
  </conditionalFormatting>
  <conditionalFormatting sqref="Q628">
    <cfRule type="expression" dxfId="11" priority="6">
      <formula>IF($C$2="是",1,IF($C$6&lt;=108,5,IF($C$6&gt;=118,15,$C$6-103)))&gt;=U628</formula>
    </cfRule>
  </conditionalFormatting>
  <conditionalFormatting sqref="Q629">
    <cfRule type="expression" dxfId="10" priority="5">
      <formula>IF($C$2="是",1,IF($C$6&lt;=108,5,IF($C$6&gt;=118,15,$C$6-103)))&gt;=U629</formula>
    </cfRule>
  </conditionalFormatting>
  <conditionalFormatting sqref="Q630">
    <cfRule type="expression" dxfId="9" priority="4">
      <formula>IF($C$2="是",1,IF($C$6&lt;=108,5,IF($C$6&gt;=118,15,$C$6-103)))&gt;=U630</formula>
    </cfRule>
  </conditionalFormatting>
  <conditionalFormatting sqref="Q631">
    <cfRule type="expression" dxfId="8" priority="3">
      <formula>IF($C$2="是",1,IF($C$6&lt;=108,5,IF($C$6&gt;=118,15,$C$6-103)))&gt;=U631</formula>
    </cfRule>
  </conditionalFormatting>
  <conditionalFormatting sqref="Q632">
    <cfRule type="expression" dxfId="7" priority="2">
      <formula>IF($C$2="是",1,IF($C$6&lt;=108,5,IF($C$6&gt;=118,15,$C$6-103)))&gt;=U632</formula>
    </cfRule>
  </conditionalFormatting>
  <conditionalFormatting sqref="Q633">
    <cfRule type="expression" dxfId="6" priority="1">
      <formula>IF($C$2="是",1,IF($C$6&lt;=108,5,IF($C$6&gt;=118,15,$C$6-103)))&gt;=U633</formula>
    </cfRule>
  </conditionalFormatting>
  <dataValidations disablePrompts="1" count="4">
    <dataValidation type="list" allowBlank="1" showInputMessage="1" showErrorMessage="1" sqref="C1">
      <formula1>"中等以下教師,其他"</formula1>
    </dataValidation>
    <dataValidation type="list" allowBlank="1" showInputMessage="1" showErrorMessage="1" sqref="C2 E2">
      <formula1>"是,否"</formula1>
    </dataValidation>
    <dataValidation type="list" allowBlank="1" showInputMessage="1" showErrorMessage="1" sqref="L2">
      <formula1>"月補償金,一次請領"</formula1>
    </dataValidation>
    <dataValidation type="list" allowBlank="1" showInputMessage="1" showErrorMessage="1" sqref="I2">
      <formula1>"否,展期,減額"</formula1>
    </dataValidation>
  </dataValidations>
  <pageMargins left="0.25" right="0.25" top="0.75" bottom="0.75" header="0.3" footer="0.3"/>
  <pageSetup paperSize="8" orientation="portrait" r:id="rId1"/>
  <ignoredErrors>
    <ignoredError sqref="L2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Income">
                <anchor moveWithCells="1" sizeWithCells="1">
                  <from>
                    <xdr:col>13</xdr:col>
                    <xdr:colOff>123825</xdr:colOff>
                    <xdr:row>0</xdr:row>
                    <xdr:rowOff>114300</xdr:rowOff>
                  </from>
                  <to>
                    <xdr:col>15</xdr:col>
                    <xdr:colOff>142875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Button 9">
              <controlPr defaultSize="0" print="0" autoFill="0" autoPict="0" macro="[0]!Income_Increase">
                <anchor moveWithCells="1" sizeWithCells="1">
                  <from>
                    <xdr:col>13</xdr:col>
                    <xdr:colOff>142875</xdr:colOff>
                    <xdr:row>4</xdr:row>
                    <xdr:rowOff>47625</xdr:rowOff>
                  </from>
                  <to>
                    <xdr:col>15</xdr:col>
                    <xdr:colOff>133350</xdr:colOff>
                    <xdr:row>9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參照表!$H$4:$H$34</xm:f>
          </x14:formula1>
          <xm:sqref>Q2 G2</xm:sqref>
        </x14:dataValidation>
        <x14:dataValidation type="list" allowBlank="1" showInputMessage="1" showErrorMessage="1">
          <x14:formula1>
            <xm:f>參照表!$L$4:$L$12</xm:f>
          </x14:formula1>
          <xm:sqref>E1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tabColor theme="4" tint="0.79998168889431442"/>
  </sheetPr>
  <dimension ref="A1:L30"/>
  <sheetViews>
    <sheetView workbookViewId="0">
      <selection activeCell="E17" sqref="E17"/>
    </sheetView>
  </sheetViews>
  <sheetFormatPr defaultRowHeight="16.5" x14ac:dyDescent="0.25"/>
  <cols>
    <col min="1" max="1" width="9.875" customWidth="1"/>
    <col min="2" max="12" width="10.875" customWidth="1"/>
  </cols>
  <sheetData>
    <row r="1" spans="1:12" ht="24" customHeight="1" x14ac:dyDescent="0.25">
      <c r="A1" s="98" t="s">
        <v>202</v>
      </c>
    </row>
    <row r="2" spans="1:12" x14ac:dyDescent="0.25">
      <c r="A2" s="343"/>
      <c r="B2" s="279" t="s">
        <v>115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x14ac:dyDescent="0.25">
      <c r="A3" s="343"/>
      <c r="B3" s="89">
        <f>A10</f>
        <v>129</v>
      </c>
      <c r="C3" s="89">
        <f>B3+1</f>
        <v>130</v>
      </c>
      <c r="D3" s="89">
        <f t="shared" ref="D3:L3" si="0">C3+1</f>
        <v>131</v>
      </c>
      <c r="E3" s="89">
        <f t="shared" si="0"/>
        <v>132</v>
      </c>
      <c r="F3" s="89">
        <f t="shared" si="0"/>
        <v>133</v>
      </c>
      <c r="G3" s="89">
        <f t="shared" si="0"/>
        <v>134</v>
      </c>
      <c r="H3" s="89">
        <f t="shared" si="0"/>
        <v>135</v>
      </c>
      <c r="I3" s="89">
        <f t="shared" si="0"/>
        <v>136</v>
      </c>
      <c r="J3" s="89">
        <f t="shared" si="0"/>
        <v>137</v>
      </c>
      <c r="K3" s="89">
        <f t="shared" si="0"/>
        <v>138</v>
      </c>
      <c r="L3" s="89">
        <f t="shared" si="0"/>
        <v>139</v>
      </c>
    </row>
    <row r="4" spans="1:12" x14ac:dyDescent="0.25">
      <c r="A4" s="53" t="s">
        <v>119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x14ac:dyDescent="0.25">
      <c r="A5" s="53" t="s">
        <v>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x14ac:dyDescent="0.25">
      <c r="A6" s="92" t="s">
        <v>116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x14ac:dyDescent="0.25">
      <c r="A7" s="92" t="s">
        <v>117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2" x14ac:dyDescent="0.25">
      <c r="A8" s="92" t="s">
        <v>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ht="31.5" x14ac:dyDescent="0.25">
      <c r="A9" s="88" t="s">
        <v>118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x14ac:dyDescent="0.25">
      <c r="A10" s="91">
        <v>129</v>
      </c>
      <c r="B10" s="44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 x14ac:dyDescent="0.25">
      <c r="A11" s="91">
        <f>A10+1</f>
        <v>130</v>
      </c>
      <c r="B11" s="44"/>
      <c r="C11" s="44"/>
      <c r="D11" s="96"/>
      <c r="E11" s="96"/>
      <c r="F11" s="96"/>
      <c r="G11" s="96"/>
      <c r="H11" s="96"/>
      <c r="I11" s="96"/>
      <c r="J11" s="96"/>
      <c r="K11" s="96"/>
      <c r="L11" s="96"/>
    </row>
    <row r="12" spans="1:12" x14ac:dyDescent="0.25">
      <c r="A12" s="91">
        <f t="shared" ref="A12:A30" si="1">A11+1</f>
        <v>131</v>
      </c>
      <c r="B12" s="44"/>
      <c r="C12" s="44"/>
      <c r="D12" s="44"/>
      <c r="E12" s="96"/>
      <c r="F12" s="96"/>
      <c r="G12" s="96"/>
      <c r="H12" s="96"/>
      <c r="I12" s="96"/>
      <c r="J12" s="96"/>
      <c r="K12" s="96"/>
      <c r="L12" s="96"/>
    </row>
    <row r="13" spans="1:12" x14ac:dyDescent="0.25">
      <c r="A13" s="91">
        <f t="shared" si="1"/>
        <v>132</v>
      </c>
      <c r="B13" s="44"/>
      <c r="C13" s="44"/>
      <c r="D13" s="44"/>
      <c r="E13" s="44"/>
      <c r="F13" s="96"/>
      <c r="G13" s="96"/>
      <c r="H13" s="96"/>
      <c r="I13" s="96"/>
      <c r="J13" s="96"/>
      <c r="K13" s="96"/>
      <c r="L13" s="96"/>
    </row>
    <row r="14" spans="1:12" x14ac:dyDescent="0.25">
      <c r="A14" s="91">
        <f t="shared" si="1"/>
        <v>133</v>
      </c>
      <c r="B14" s="44"/>
      <c r="C14" s="44"/>
      <c r="D14" s="44"/>
      <c r="E14" s="44"/>
      <c r="F14" s="44"/>
      <c r="G14" s="96"/>
      <c r="H14" s="96"/>
      <c r="I14" s="96"/>
      <c r="J14" s="96"/>
      <c r="K14" s="96"/>
      <c r="L14" s="96"/>
    </row>
    <row r="15" spans="1:12" x14ac:dyDescent="0.25">
      <c r="A15" s="91">
        <f t="shared" si="1"/>
        <v>134</v>
      </c>
      <c r="B15" s="44"/>
      <c r="C15" s="44"/>
      <c r="D15" s="44"/>
      <c r="E15" s="44"/>
      <c r="F15" s="44"/>
      <c r="G15" s="44"/>
      <c r="H15" s="96"/>
      <c r="I15" s="96"/>
      <c r="J15" s="96"/>
      <c r="K15" s="96"/>
      <c r="L15" s="96"/>
    </row>
    <row r="16" spans="1:12" x14ac:dyDescent="0.25">
      <c r="A16" s="91">
        <f t="shared" si="1"/>
        <v>135</v>
      </c>
      <c r="B16" s="44"/>
      <c r="C16" s="44"/>
      <c r="D16" s="44"/>
      <c r="E16" s="44"/>
      <c r="F16" s="44"/>
      <c r="G16" s="44"/>
      <c r="H16" s="44"/>
      <c r="I16" s="96"/>
      <c r="J16" s="96"/>
      <c r="K16" s="96"/>
      <c r="L16" s="96"/>
    </row>
    <row r="17" spans="1:12" x14ac:dyDescent="0.25">
      <c r="A17" s="91">
        <f t="shared" si="1"/>
        <v>136</v>
      </c>
      <c r="B17" s="44"/>
      <c r="C17" s="44"/>
      <c r="D17" s="44"/>
      <c r="E17" s="44"/>
      <c r="F17" s="44"/>
      <c r="G17" s="44"/>
      <c r="H17" s="44"/>
      <c r="I17" s="44"/>
      <c r="J17" s="96"/>
      <c r="K17" s="96"/>
      <c r="L17" s="96"/>
    </row>
    <row r="18" spans="1:12" x14ac:dyDescent="0.25">
      <c r="A18" s="91">
        <f t="shared" si="1"/>
        <v>137</v>
      </c>
      <c r="B18" s="44"/>
      <c r="C18" s="44"/>
      <c r="D18" s="44"/>
      <c r="E18" s="44"/>
      <c r="F18" s="44"/>
      <c r="G18" s="44"/>
      <c r="H18" s="44"/>
      <c r="I18" s="44"/>
      <c r="J18" s="44"/>
      <c r="K18" s="96"/>
      <c r="L18" s="96"/>
    </row>
    <row r="19" spans="1:12" x14ac:dyDescent="0.25">
      <c r="A19" s="91">
        <f t="shared" si="1"/>
        <v>138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96"/>
    </row>
    <row r="20" spans="1:12" x14ac:dyDescent="0.25">
      <c r="A20" s="91">
        <f t="shared" si="1"/>
        <v>139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x14ac:dyDescent="0.25">
      <c r="A21" s="91">
        <f t="shared" si="1"/>
        <v>140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x14ac:dyDescent="0.25">
      <c r="A22" s="91">
        <f t="shared" si="1"/>
        <v>141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x14ac:dyDescent="0.25">
      <c r="A23" s="91">
        <f t="shared" si="1"/>
        <v>142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x14ac:dyDescent="0.25">
      <c r="A24" s="91">
        <f t="shared" si="1"/>
        <v>143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x14ac:dyDescent="0.25">
      <c r="A25" s="91">
        <f t="shared" si="1"/>
        <v>144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pans="1:12" x14ac:dyDescent="0.25">
      <c r="A26" s="91">
        <f t="shared" si="1"/>
        <v>145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x14ac:dyDescent="0.25">
      <c r="A27" s="91">
        <f t="shared" si="1"/>
        <v>146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x14ac:dyDescent="0.25">
      <c r="A28" s="91">
        <f t="shared" si="1"/>
        <v>147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</row>
    <row r="29" spans="1:12" x14ac:dyDescent="0.25">
      <c r="A29" s="91">
        <f t="shared" si="1"/>
        <v>148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x14ac:dyDescent="0.25">
      <c r="A30" s="91">
        <f t="shared" si="1"/>
        <v>149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mergeCells count="2">
    <mergeCell ref="B2:L2"/>
    <mergeCell ref="A2:A3"/>
  </mergeCells>
  <phoneticPr fontId="1" type="noConversion"/>
  <conditionalFormatting sqref="B10:L30">
    <cfRule type="expression" dxfId="5" priority="5">
      <formula>AND(B10=ROUND(2*B$6*B$9,0),B10&gt;0)</formula>
    </cfRule>
  </conditionalFormatting>
  <conditionalFormatting sqref="C11:L30">
    <cfRule type="expression" dxfId="4" priority="3">
      <formula>AND(C11=B11,C11&gt;0)</formula>
    </cfRule>
  </conditionalFormatting>
  <conditionalFormatting sqref="B5:L5">
    <cfRule type="cellIs" dxfId="3" priority="2" operator="between">
      <formula>65</formula>
      <formula>70</formula>
    </cfRule>
  </conditionalFormatting>
  <conditionalFormatting sqref="J10:L30">
    <cfRule type="expression" dxfId="2" priority="1">
      <formula>J$4=""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AB61"/>
  <sheetViews>
    <sheetView workbookViewId="0">
      <pane ySplit="3" topLeftCell="A31" activePane="bottomLeft" state="frozenSplit"/>
      <selection activeCell="M4" sqref="M4"/>
      <selection pane="bottomLeft" activeCell="N31" sqref="N31"/>
    </sheetView>
  </sheetViews>
  <sheetFormatPr defaultRowHeight="16.5" x14ac:dyDescent="0.25"/>
  <cols>
    <col min="1" max="1" width="6.125" customWidth="1"/>
    <col min="2" max="2" width="7.75" customWidth="1"/>
    <col min="3" max="3" width="1.75" customWidth="1"/>
    <col min="4" max="4" width="6.125" customWidth="1"/>
    <col min="5" max="6" width="7.5" customWidth="1"/>
    <col min="7" max="7" width="1.75" customWidth="1"/>
    <col min="8" max="8" width="7.25" customWidth="1"/>
    <col min="9" max="9" width="8.125" customWidth="1"/>
    <col min="10" max="10" width="8.625" customWidth="1"/>
    <col min="11" max="11" width="3.375" customWidth="1"/>
    <col min="12" max="12" width="11.375" customWidth="1"/>
    <col min="13" max="13" width="7" customWidth="1"/>
    <col min="15" max="15" width="8.25" customWidth="1"/>
    <col min="16" max="16" width="1.375" customWidth="1"/>
    <col min="17" max="17" width="4.125" customWidth="1"/>
    <col min="18" max="28" width="7.5" customWidth="1"/>
  </cols>
  <sheetData>
    <row r="1" spans="1:28" x14ac:dyDescent="0.25">
      <c r="A1" s="345" t="s">
        <v>44</v>
      </c>
      <c r="B1" s="345"/>
      <c r="D1" s="345" t="s">
        <v>45</v>
      </c>
      <c r="E1" s="345"/>
      <c r="F1" s="345"/>
      <c r="H1" s="345" t="s">
        <v>43</v>
      </c>
      <c r="I1" s="345"/>
      <c r="J1" s="345"/>
      <c r="L1" s="345" t="s">
        <v>56</v>
      </c>
      <c r="M1" s="345"/>
      <c r="N1" s="345"/>
      <c r="O1" s="345"/>
      <c r="Q1" s="344" t="s">
        <v>72</v>
      </c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</row>
    <row r="2" spans="1:28" ht="20.25" customHeight="1" x14ac:dyDescent="0.25">
      <c r="A2" s="279" t="s">
        <v>12</v>
      </c>
      <c r="B2" s="279" t="s">
        <v>136</v>
      </c>
      <c r="C2" s="111"/>
      <c r="D2" s="279" t="s">
        <v>12</v>
      </c>
      <c r="E2" s="278" t="s">
        <v>13</v>
      </c>
      <c r="F2" s="278"/>
      <c r="H2" s="278" t="s">
        <v>23</v>
      </c>
      <c r="I2" s="278" t="s">
        <v>24</v>
      </c>
      <c r="J2" s="278"/>
      <c r="L2" s="279" t="s">
        <v>47</v>
      </c>
      <c r="M2" s="279" t="s">
        <v>55</v>
      </c>
      <c r="N2" s="279" t="s">
        <v>48</v>
      </c>
      <c r="O2" s="279" t="s">
        <v>49</v>
      </c>
      <c r="Q2" s="279" t="s">
        <v>67</v>
      </c>
      <c r="R2" s="279">
        <v>108</v>
      </c>
      <c r="S2" s="279">
        <v>109</v>
      </c>
      <c r="T2" s="279">
        <v>110</v>
      </c>
      <c r="U2" s="279">
        <v>111</v>
      </c>
      <c r="V2" s="279">
        <v>112</v>
      </c>
      <c r="W2" s="279">
        <v>113</v>
      </c>
      <c r="X2" s="279">
        <v>114</v>
      </c>
      <c r="Y2" s="279">
        <v>115</v>
      </c>
      <c r="Z2" s="279">
        <v>116</v>
      </c>
      <c r="AA2" s="279">
        <v>117</v>
      </c>
      <c r="AB2" s="279">
        <v>118</v>
      </c>
    </row>
    <row r="3" spans="1:28" ht="35.25" customHeight="1" x14ac:dyDescent="0.25">
      <c r="A3" s="278"/>
      <c r="B3" s="278"/>
      <c r="C3" s="103"/>
      <c r="D3" s="278"/>
      <c r="E3" s="112" t="s">
        <v>65</v>
      </c>
      <c r="F3" s="112" t="s">
        <v>66</v>
      </c>
      <c r="H3" s="278"/>
      <c r="I3" s="34" t="s">
        <v>26</v>
      </c>
      <c r="J3" s="34" t="s">
        <v>27</v>
      </c>
      <c r="L3" s="279"/>
      <c r="M3" s="279"/>
      <c r="N3" s="279"/>
      <c r="O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</row>
    <row r="4" spans="1:28" x14ac:dyDescent="0.25">
      <c r="A4" s="14">
        <v>107</v>
      </c>
      <c r="B4" s="15">
        <v>76</v>
      </c>
      <c r="D4" s="14">
        <v>107</v>
      </c>
      <c r="E4" s="14">
        <v>58</v>
      </c>
      <c r="F4" s="14">
        <v>58</v>
      </c>
      <c r="H4" s="7">
        <v>770</v>
      </c>
      <c r="I4" s="16">
        <v>51480</v>
      </c>
      <c r="J4" s="16">
        <v>53075</v>
      </c>
      <c r="K4">
        <v>31</v>
      </c>
      <c r="L4" s="3" t="s">
        <v>50</v>
      </c>
      <c r="M4" s="3">
        <v>625</v>
      </c>
      <c r="N4" s="16">
        <v>47080</v>
      </c>
      <c r="O4" s="16">
        <v>26290</v>
      </c>
      <c r="Q4" s="37">
        <v>15</v>
      </c>
      <c r="R4" s="38">
        <v>0.44999999999999973</v>
      </c>
      <c r="S4" s="38">
        <v>0.43499999999999972</v>
      </c>
      <c r="T4" s="38">
        <v>0.41999999999999971</v>
      </c>
      <c r="U4" s="38">
        <v>0.40499999999999969</v>
      </c>
      <c r="V4" s="38">
        <v>0.38999999999999968</v>
      </c>
      <c r="W4" s="38">
        <v>0.37499999999999967</v>
      </c>
      <c r="X4" s="38">
        <v>0.35999999999999965</v>
      </c>
      <c r="Y4" s="38">
        <v>0.34499999999999964</v>
      </c>
      <c r="Z4" s="38">
        <v>0.32999999999999963</v>
      </c>
      <c r="AA4" s="38">
        <v>0.31499999999999961</v>
      </c>
      <c r="AB4" s="38">
        <v>0.2999999999999996</v>
      </c>
    </row>
    <row r="5" spans="1:28" x14ac:dyDescent="0.25">
      <c r="A5" s="14">
        <v>108</v>
      </c>
      <c r="B5" s="15">
        <v>77</v>
      </c>
      <c r="D5" s="14">
        <v>108</v>
      </c>
      <c r="E5" s="14">
        <v>58</v>
      </c>
      <c r="F5" s="14">
        <v>58</v>
      </c>
      <c r="H5" s="7">
        <v>740</v>
      </c>
      <c r="I5" s="16">
        <v>50835</v>
      </c>
      <c r="J5" s="16">
        <v>52410</v>
      </c>
      <c r="K5">
        <v>30</v>
      </c>
      <c r="L5" s="3" t="s">
        <v>51</v>
      </c>
      <c r="M5" s="3">
        <v>650</v>
      </c>
      <c r="N5" s="16">
        <v>48415</v>
      </c>
      <c r="O5" s="16">
        <v>31320</v>
      </c>
      <c r="Q5" s="29">
        <v>16</v>
      </c>
      <c r="R5" s="31">
        <v>0.46499999999999975</v>
      </c>
      <c r="S5" s="31">
        <v>0.44999999999999973</v>
      </c>
      <c r="T5" s="31">
        <v>0.43499999999999972</v>
      </c>
      <c r="U5" s="31">
        <v>0.41999999999999971</v>
      </c>
      <c r="V5" s="31">
        <v>0.40499999999999969</v>
      </c>
      <c r="W5" s="31">
        <v>0.38999999999999968</v>
      </c>
      <c r="X5" s="32">
        <v>0.37499999999999967</v>
      </c>
      <c r="Y5" s="32">
        <v>0.35999999999999965</v>
      </c>
      <c r="Z5" s="32">
        <v>0.34499999999999964</v>
      </c>
      <c r="AA5" s="32">
        <v>0.32999999999999963</v>
      </c>
      <c r="AB5" s="31">
        <v>0.31499999999999961</v>
      </c>
    </row>
    <row r="6" spans="1:28" x14ac:dyDescent="0.25">
      <c r="A6" s="14">
        <v>109</v>
      </c>
      <c r="B6" s="15">
        <v>78</v>
      </c>
      <c r="D6" s="14">
        <v>109</v>
      </c>
      <c r="E6" s="14">
        <v>58</v>
      </c>
      <c r="F6" s="14">
        <v>58</v>
      </c>
      <c r="H6" s="7">
        <v>710</v>
      </c>
      <c r="I6" s="16">
        <v>50190</v>
      </c>
      <c r="J6" s="16">
        <v>51745</v>
      </c>
      <c r="K6">
        <v>29</v>
      </c>
      <c r="L6" s="3" t="s">
        <v>52</v>
      </c>
      <c r="M6" s="3">
        <v>680</v>
      </c>
      <c r="N6" s="16">
        <v>49745</v>
      </c>
      <c r="O6" s="16">
        <v>31320</v>
      </c>
      <c r="Q6" s="29">
        <v>17</v>
      </c>
      <c r="R6" s="31">
        <v>0.47999999999999976</v>
      </c>
      <c r="S6" s="31">
        <v>0.46499999999999975</v>
      </c>
      <c r="T6" s="31">
        <v>0.44999999999999973</v>
      </c>
      <c r="U6" s="31">
        <v>0.43499999999999972</v>
      </c>
      <c r="V6" s="31">
        <v>0.41999999999999971</v>
      </c>
      <c r="W6" s="31">
        <v>0.40499999999999969</v>
      </c>
      <c r="X6" s="32">
        <v>0.38999999999999968</v>
      </c>
      <c r="Y6" s="32">
        <v>0.37499999999999967</v>
      </c>
      <c r="Z6" s="32">
        <v>0.35999999999999965</v>
      </c>
      <c r="AA6" s="32">
        <v>0.34499999999999964</v>
      </c>
      <c r="AB6" s="31">
        <v>0.32999999999999963</v>
      </c>
    </row>
    <row r="7" spans="1:28" x14ac:dyDescent="0.25">
      <c r="A7" s="14">
        <v>110</v>
      </c>
      <c r="B7" s="15">
        <v>79</v>
      </c>
      <c r="D7" s="14">
        <v>110</v>
      </c>
      <c r="E7" s="14">
        <v>58</v>
      </c>
      <c r="F7" s="14">
        <v>58</v>
      </c>
      <c r="H7" s="7">
        <v>680</v>
      </c>
      <c r="I7" s="16">
        <v>48250</v>
      </c>
      <c r="J7" s="16">
        <v>49745</v>
      </c>
      <c r="K7">
        <v>28</v>
      </c>
      <c r="L7" s="3" t="s">
        <v>208</v>
      </c>
      <c r="M7" s="3"/>
      <c r="N7" s="16"/>
      <c r="O7" s="16"/>
      <c r="Q7" s="29">
        <v>18</v>
      </c>
      <c r="R7" s="31">
        <v>0.49499999999999977</v>
      </c>
      <c r="S7" s="31">
        <v>0.47999999999999976</v>
      </c>
      <c r="T7" s="31">
        <v>0.46499999999999975</v>
      </c>
      <c r="U7" s="31">
        <v>0.44999999999999973</v>
      </c>
      <c r="V7" s="31">
        <v>0.43499999999999972</v>
      </c>
      <c r="W7" s="31">
        <v>0.41999999999999971</v>
      </c>
      <c r="X7" s="32">
        <v>0.40499999999999969</v>
      </c>
      <c r="Y7" s="32">
        <v>0.38999999999999968</v>
      </c>
      <c r="Z7" s="32">
        <v>0.37499999999999967</v>
      </c>
      <c r="AA7" s="32">
        <v>0.35999999999999965</v>
      </c>
      <c r="AB7" s="31">
        <v>0.34499999999999964</v>
      </c>
    </row>
    <row r="8" spans="1:28" x14ac:dyDescent="0.25">
      <c r="A8" s="14">
        <v>111</v>
      </c>
      <c r="B8" s="15">
        <v>80</v>
      </c>
      <c r="D8" s="14">
        <v>111</v>
      </c>
      <c r="E8" s="14">
        <v>58</v>
      </c>
      <c r="F8" s="14">
        <v>58</v>
      </c>
      <c r="H8" s="7">
        <v>650</v>
      </c>
      <c r="I8" s="16">
        <v>46960</v>
      </c>
      <c r="J8" s="16">
        <v>48415</v>
      </c>
      <c r="K8">
        <v>27</v>
      </c>
      <c r="L8" s="3" t="s">
        <v>207</v>
      </c>
      <c r="M8" s="3"/>
      <c r="N8" s="16"/>
      <c r="O8" s="16"/>
      <c r="Q8" s="29">
        <v>19</v>
      </c>
      <c r="R8" s="31">
        <v>0.50999999999999979</v>
      </c>
      <c r="S8" s="31">
        <v>0.49499999999999977</v>
      </c>
      <c r="T8" s="31">
        <v>0.47999999999999976</v>
      </c>
      <c r="U8" s="31">
        <v>0.46499999999999975</v>
      </c>
      <c r="V8" s="31">
        <v>0.44999999999999973</v>
      </c>
      <c r="W8" s="31">
        <v>0.43499999999999972</v>
      </c>
      <c r="X8" s="32">
        <v>0.41999999999999971</v>
      </c>
      <c r="Y8" s="32">
        <v>0.40499999999999969</v>
      </c>
      <c r="Z8" s="32">
        <v>0.38999999999999968</v>
      </c>
      <c r="AA8" s="32">
        <v>0.37499999999999967</v>
      </c>
      <c r="AB8" s="31">
        <v>0.35999999999999965</v>
      </c>
    </row>
    <row r="9" spans="1:28" x14ac:dyDescent="0.25">
      <c r="A9" s="14">
        <v>112</v>
      </c>
      <c r="B9" s="15">
        <v>81</v>
      </c>
      <c r="D9" s="14">
        <v>112</v>
      </c>
      <c r="E9" s="14">
        <v>58</v>
      </c>
      <c r="F9" s="14">
        <v>58</v>
      </c>
      <c r="H9" s="7">
        <v>625</v>
      </c>
      <c r="I9" s="16">
        <v>45665</v>
      </c>
      <c r="J9" s="16">
        <v>47080</v>
      </c>
      <c r="K9">
        <v>26</v>
      </c>
      <c r="L9" s="3" t="s">
        <v>53</v>
      </c>
      <c r="M9" s="3">
        <v>650</v>
      </c>
      <c r="N9" s="16">
        <v>48415</v>
      </c>
      <c r="O9" s="16">
        <v>39555</v>
      </c>
      <c r="Q9" s="29">
        <v>20</v>
      </c>
      <c r="R9" s="31">
        <v>0.5249999999999998</v>
      </c>
      <c r="S9" s="31">
        <v>0.50999999999999979</v>
      </c>
      <c r="T9" s="31">
        <v>0.49499999999999977</v>
      </c>
      <c r="U9" s="31">
        <v>0.47999999999999976</v>
      </c>
      <c r="V9" s="31">
        <v>0.46499999999999975</v>
      </c>
      <c r="W9" s="31">
        <v>0.44999999999999973</v>
      </c>
      <c r="X9" s="32">
        <v>0.43499999999999972</v>
      </c>
      <c r="Y9" s="32">
        <v>0.41999999999999971</v>
      </c>
      <c r="Z9" s="32">
        <v>0.40499999999999969</v>
      </c>
      <c r="AA9" s="32">
        <v>0.38999999999999968</v>
      </c>
      <c r="AB9" s="31">
        <v>0.37499999999999967</v>
      </c>
    </row>
    <row r="10" spans="1:28" x14ac:dyDescent="0.25">
      <c r="A10" s="14">
        <v>113</v>
      </c>
      <c r="B10" s="15">
        <v>82</v>
      </c>
      <c r="D10" s="14">
        <v>113</v>
      </c>
      <c r="E10" s="14">
        <v>58</v>
      </c>
      <c r="F10" s="14">
        <v>58</v>
      </c>
      <c r="H10" s="7">
        <v>600</v>
      </c>
      <c r="I10" s="16">
        <v>44375</v>
      </c>
      <c r="J10" s="16">
        <v>45750</v>
      </c>
      <c r="K10">
        <v>25</v>
      </c>
      <c r="L10" s="3" t="s">
        <v>54</v>
      </c>
      <c r="M10" s="3">
        <v>710</v>
      </c>
      <c r="N10" s="16">
        <v>51745</v>
      </c>
      <c r="O10" s="16">
        <v>45250</v>
      </c>
      <c r="Q10" s="29">
        <v>21</v>
      </c>
      <c r="R10" s="31">
        <v>0.53999999999999981</v>
      </c>
      <c r="S10" s="31">
        <v>0.5249999999999998</v>
      </c>
      <c r="T10" s="31">
        <v>0.50999999999999979</v>
      </c>
      <c r="U10" s="31">
        <v>0.49499999999999977</v>
      </c>
      <c r="V10" s="31">
        <v>0.47999999999999976</v>
      </c>
      <c r="W10" s="31">
        <v>0.46499999999999975</v>
      </c>
      <c r="X10" s="32">
        <v>0.44999999999999973</v>
      </c>
      <c r="Y10" s="32">
        <v>0.43499999999999972</v>
      </c>
      <c r="Z10" s="32">
        <v>0.41999999999999971</v>
      </c>
      <c r="AA10" s="32">
        <v>0.40499999999999969</v>
      </c>
      <c r="AB10" s="31">
        <v>0.38999999999999968</v>
      </c>
    </row>
    <row r="11" spans="1:28" x14ac:dyDescent="0.25">
      <c r="A11" s="14">
        <v>114</v>
      </c>
      <c r="B11" s="15">
        <v>83</v>
      </c>
      <c r="D11" s="14">
        <v>114</v>
      </c>
      <c r="E11" s="14">
        <v>58</v>
      </c>
      <c r="F11" s="14">
        <v>58</v>
      </c>
      <c r="H11" s="7">
        <v>575</v>
      </c>
      <c r="I11" s="16">
        <v>43080</v>
      </c>
      <c r="J11" s="16">
        <v>44420</v>
      </c>
      <c r="K11">
        <v>24</v>
      </c>
      <c r="L11" s="3" t="s">
        <v>46</v>
      </c>
      <c r="M11" s="3">
        <v>770</v>
      </c>
      <c r="N11" s="16">
        <v>53075</v>
      </c>
      <c r="O11" s="16">
        <v>54450</v>
      </c>
      <c r="Q11" s="29">
        <v>22</v>
      </c>
      <c r="R11" s="31">
        <v>0.55499999999999983</v>
      </c>
      <c r="S11" s="31">
        <v>0.53999999999999981</v>
      </c>
      <c r="T11" s="31">
        <v>0.5249999999999998</v>
      </c>
      <c r="U11" s="31">
        <v>0.50999999999999979</v>
      </c>
      <c r="V11" s="31">
        <v>0.49499999999999977</v>
      </c>
      <c r="W11" s="31">
        <v>0.47999999999999976</v>
      </c>
      <c r="X11" s="32">
        <v>0.46499999999999975</v>
      </c>
      <c r="Y11" s="32">
        <v>0.44999999999999973</v>
      </c>
      <c r="Z11" s="32">
        <v>0.43499999999999972</v>
      </c>
      <c r="AA11" s="32">
        <v>0.41999999999999971</v>
      </c>
      <c r="AB11" s="31">
        <v>0.40499999999999969</v>
      </c>
    </row>
    <row r="12" spans="1:28" x14ac:dyDescent="0.25">
      <c r="A12" s="14">
        <v>115</v>
      </c>
      <c r="B12" s="15">
        <v>84</v>
      </c>
      <c r="D12" s="14">
        <v>115</v>
      </c>
      <c r="E12" s="14">
        <v>58</v>
      </c>
      <c r="F12" s="14">
        <v>59</v>
      </c>
      <c r="H12" s="7">
        <v>550</v>
      </c>
      <c r="I12" s="16">
        <v>41790</v>
      </c>
      <c r="J12" s="16">
        <v>43085</v>
      </c>
      <c r="K12">
        <v>23</v>
      </c>
      <c r="L12" s="3" t="s">
        <v>83</v>
      </c>
      <c r="M12" s="3">
        <v>770</v>
      </c>
      <c r="N12" s="16"/>
      <c r="O12" s="16"/>
      <c r="Q12" s="29">
        <v>23</v>
      </c>
      <c r="R12" s="31">
        <v>0.56999999999999984</v>
      </c>
      <c r="S12" s="31">
        <v>0.55499999999999983</v>
      </c>
      <c r="T12" s="31">
        <v>0.53999999999999981</v>
      </c>
      <c r="U12" s="31">
        <v>0.5249999999999998</v>
      </c>
      <c r="V12" s="31">
        <v>0.50999999999999979</v>
      </c>
      <c r="W12" s="31">
        <v>0.49499999999999977</v>
      </c>
      <c r="X12" s="32">
        <v>0.47999999999999976</v>
      </c>
      <c r="Y12" s="32">
        <v>0.46499999999999975</v>
      </c>
      <c r="Z12" s="32">
        <v>0.44999999999999973</v>
      </c>
      <c r="AA12" s="32">
        <v>0.43499999999999972</v>
      </c>
      <c r="AB12" s="31">
        <v>0.41999999999999971</v>
      </c>
    </row>
    <row r="13" spans="1:28" x14ac:dyDescent="0.25">
      <c r="A13" s="14">
        <v>116</v>
      </c>
      <c r="B13" s="15">
        <v>85</v>
      </c>
      <c r="D13" s="14">
        <v>116</v>
      </c>
      <c r="E13" s="14">
        <v>58</v>
      </c>
      <c r="F13" s="14">
        <v>60</v>
      </c>
      <c r="H13" s="7">
        <v>525</v>
      </c>
      <c r="I13" s="16">
        <v>40500</v>
      </c>
      <c r="J13" s="16">
        <v>41755</v>
      </c>
      <c r="K13">
        <v>22</v>
      </c>
      <c r="Q13" s="29">
        <v>24</v>
      </c>
      <c r="R13" s="31">
        <v>0.58499999999999985</v>
      </c>
      <c r="S13" s="31">
        <v>0.56999999999999984</v>
      </c>
      <c r="T13" s="31">
        <v>0.55499999999999983</v>
      </c>
      <c r="U13" s="31">
        <v>0.53999999999999981</v>
      </c>
      <c r="V13" s="31">
        <v>0.5249999999999998</v>
      </c>
      <c r="W13" s="31">
        <v>0.50999999999999979</v>
      </c>
      <c r="X13" s="32">
        <v>0.49499999999999977</v>
      </c>
      <c r="Y13" s="32">
        <v>0.47999999999999976</v>
      </c>
      <c r="Z13" s="32">
        <v>0.46499999999999975</v>
      </c>
      <c r="AA13" s="32">
        <v>0.44999999999999973</v>
      </c>
      <c r="AB13" s="31">
        <v>0.43499999999999972</v>
      </c>
    </row>
    <row r="14" spans="1:28" x14ac:dyDescent="0.25">
      <c r="A14" s="14">
        <v>117</v>
      </c>
      <c r="B14" s="14">
        <v>86</v>
      </c>
      <c r="C14" s="1"/>
      <c r="D14" s="14">
        <v>117</v>
      </c>
      <c r="E14" s="14">
        <v>58</v>
      </c>
      <c r="F14" s="14">
        <v>61</v>
      </c>
      <c r="H14" s="7">
        <v>500</v>
      </c>
      <c r="I14" s="16">
        <v>39205</v>
      </c>
      <c r="J14" s="16">
        <v>40420</v>
      </c>
      <c r="K14">
        <v>21</v>
      </c>
      <c r="L14" s="23" t="s">
        <v>76</v>
      </c>
      <c r="M14" s="3" t="s">
        <v>77</v>
      </c>
      <c r="Q14" s="29">
        <v>25</v>
      </c>
      <c r="R14" s="30">
        <v>0.59999999999999987</v>
      </c>
      <c r="S14" s="30">
        <v>0.58499999999999985</v>
      </c>
      <c r="T14" s="30">
        <v>0.56999999999999984</v>
      </c>
      <c r="U14" s="30">
        <v>0.55499999999999983</v>
      </c>
      <c r="V14" s="30">
        <v>0.53999999999999981</v>
      </c>
      <c r="W14" s="30">
        <v>0.5249999999999998</v>
      </c>
      <c r="X14" s="30">
        <v>0.50999999999999979</v>
      </c>
      <c r="Y14" s="30">
        <v>0.49499999999999977</v>
      </c>
      <c r="Z14" s="30">
        <v>0.47999999999999976</v>
      </c>
      <c r="AA14" s="30">
        <v>0.46499999999999975</v>
      </c>
      <c r="AB14" s="30">
        <v>0.44999999999999973</v>
      </c>
    </row>
    <row r="15" spans="1:28" x14ac:dyDescent="0.25">
      <c r="A15" s="14">
        <v>118</v>
      </c>
      <c r="B15" s="14">
        <v>87</v>
      </c>
      <c r="C15" s="1"/>
      <c r="D15" s="14">
        <v>118</v>
      </c>
      <c r="E15" s="14">
        <v>58</v>
      </c>
      <c r="F15" s="14">
        <v>62</v>
      </c>
      <c r="H15" s="7">
        <v>475</v>
      </c>
      <c r="I15" s="16">
        <v>37915</v>
      </c>
      <c r="J15" s="16">
        <v>39090</v>
      </c>
      <c r="K15">
        <v>20</v>
      </c>
      <c r="L15" s="23">
        <v>107</v>
      </c>
      <c r="M15" s="3">
        <v>0.09</v>
      </c>
      <c r="Q15" s="29">
        <v>26</v>
      </c>
      <c r="R15" s="31">
        <v>0.61499999999999988</v>
      </c>
      <c r="S15" s="31">
        <v>0.59999999999999987</v>
      </c>
      <c r="T15" s="31">
        <v>0.58499999999999985</v>
      </c>
      <c r="U15" s="31">
        <v>0.56999999999999984</v>
      </c>
      <c r="V15" s="31">
        <v>0.55499999999999983</v>
      </c>
      <c r="W15" s="31">
        <v>0.53999999999999981</v>
      </c>
      <c r="X15" s="32">
        <v>0.5249999999999998</v>
      </c>
      <c r="Y15" s="32">
        <v>0.50999999999999979</v>
      </c>
      <c r="Z15" s="32">
        <v>0.49499999999999977</v>
      </c>
      <c r="AA15" s="32">
        <v>0.47999999999999976</v>
      </c>
      <c r="AB15" s="31">
        <v>0.46499999999999975</v>
      </c>
    </row>
    <row r="16" spans="1:28" x14ac:dyDescent="0.25">
      <c r="A16" s="14">
        <v>119</v>
      </c>
      <c r="B16" s="14">
        <v>88</v>
      </c>
      <c r="C16" s="1"/>
      <c r="D16" s="14">
        <v>119</v>
      </c>
      <c r="E16" s="14">
        <v>58</v>
      </c>
      <c r="F16" s="14">
        <v>63</v>
      </c>
      <c r="H16" s="7">
        <v>450</v>
      </c>
      <c r="I16" s="16">
        <v>35330</v>
      </c>
      <c r="J16" s="16">
        <v>36425</v>
      </c>
      <c r="K16">
        <v>19</v>
      </c>
      <c r="L16" s="23">
        <v>108</v>
      </c>
      <c r="M16" s="3">
        <v>0.09</v>
      </c>
      <c r="Q16" s="29">
        <v>27</v>
      </c>
      <c r="R16" s="31">
        <v>0.62999999999999989</v>
      </c>
      <c r="S16" s="31">
        <v>0.61499999999999988</v>
      </c>
      <c r="T16" s="31">
        <v>0.59999999999999987</v>
      </c>
      <c r="U16" s="31">
        <v>0.58499999999999985</v>
      </c>
      <c r="V16" s="31">
        <v>0.56999999999999984</v>
      </c>
      <c r="W16" s="31">
        <v>0.55499999999999983</v>
      </c>
      <c r="X16" s="32">
        <v>0.53999999999999981</v>
      </c>
      <c r="Y16" s="32">
        <v>0.5249999999999998</v>
      </c>
      <c r="Z16" s="32">
        <v>0.50999999999999979</v>
      </c>
      <c r="AA16" s="32">
        <v>0.49499999999999977</v>
      </c>
      <c r="AB16" s="31">
        <v>0.47999999999999976</v>
      </c>
    </row>
    <row r="17" spans="1:28" x14ac:dyDescent="0.25">
      <c r="A17" s="14">
        <v>120</v>
      </c>
      <c r="B17" s="14">
        <v>89</v>
      </c>
      <c r="C17" s="1"/>
      <c r="D17" s="14">
        <v>120</v>
      </c>
      <c r="E17" s="14">
        <v>58</v>
      </c>
      <c r="F17" s="14">
        <v>64</v>
      </c>
      <c r="H17" s="7">
        <v>430</v>
      </c>
      <c r="I17" s="16">
        <v>34360</v>
      </c>
      <c r="J17" s="16">
        <v>35425</v>
      </c>
      <c r="K17">
        <v>18</v>
      </c>
      <c r="L17" s="23">
        <v>109</v>
      </c>
      <c r="M17" s="3">
        <v>0.09</v>
      </c>
      <c r="Q17" s="29">
        <v>28</v>
      </c>
      <c r="R17" s="31">
        <v>0.64499999999999991</v>
      </c>
      <c r="S17" s="31">
        <v>0.62999999999999989</v>
      </c>
      <c r="T17" s="31">
        <v>0.61499999999999988</v>
      </c>
      <c r="U17" s="31">
        <v>0.59999999999999987</v>
      </c>
      <c r="V17" s="31">
        <v>0.58499999999999985</v>
      </c>
      <c r="W17" s="31">
        <v>0.56999999999999984</v>
      </c>
      <c r="X17" s="32">
        <v>0.55499999999999983</v>
      </c>
      <c r="Y17" s="32">
        <v>0.53999999999999981</v>
      </c>
      <c r="Z17" s="32">
        <v>0.5249999999999998</v>
      </c>
      <c r="AA17" s="32">
        <v>0.50999999999999979</v>
      </c>
      <c r="AB17" s="31">
        <v>0.49499999999999977</v>
      </c>
    </row>
    <row r="18" spans="1:28" x14ac:dyDescent="0.25">
      <c r="A18" s="14">
        <v>121</v>
      </c>
      <c r="B18" s="14">
        <v>90</v>
      </c>
      <c r="C18" s="1"/>
      <c r="D18" s="14">
        <v>121</v>
      </c>
      <c r="E18" s="14">
        <v>58</v>
      </c>
      <c r="F18" s="14">
        <v>65</v>
      </c>
      <c r="H18" s="7">
        <v>410</v>
      </c>
      <c r="I18" s="16">
        <v>33390</v>
      </c>
      <c r="J18" s="16">
        <v>34430</v>
      </c>
      <c r="K18">
        <v>17</v>
      </c>
      <c r="L18" s="23">
        <v>110</v>
      </c>
      <c r="M18" s="3">
        <v>0</v>
      </c>
      <c r="Q18" s="29">
        <v>29</v>
      </c>
      <c r="R18" s="31">
        <v>0.65999999999999992</v>
      </c>
      <c r="S18" s="31">
        <v>0.64499999999999991</v>
      </c>
      <c r="T18" s="31">
        <v>0.62999999999999989</v>
      </c>
      <c r="U18" s="31">
        <v>0.61499999999999988</v>
      </c>
      <c r="V18" s="31">
        <v>0.59999999999999987</v>
      </c>
      <c r="W18" s="31">
        <v>0.58499999999999985</v>
      </c>
      <c r="X18" s="32">
        <v>0.56999999999999984</v>
      </c>
      <c r="Y18" s="32">
        <v>0.55499999999999983</v>
      </c>
      <c r="Z18" s="32">
        <v>0.53999999999999981</v>
      </c>
      <c r="AA18" s="32">
        <v>0.5249999999999998</v>
      </c>
      <c r="AB18" s="31">
        <v>0.50999999999999979</v>
      </c>
    </row>
    <row r="19" spans="1:28" x14ac:dyDescent="0.25">
      <c r="A19" s="47"/>
      <c r="B19" s="48"/>
      <c r="D19" s="14">
        <v>122</v>
      </c>
      <c r="E19" s="14">
        <v>58</v>
      </c>
      <c r="F19" s="14">
        <v>65</v>
      </c>
      <c r="H19" s="7">
        <v>390</v>
      </c>
      <c r="I19" s="16">
        <v>32425</v>
      </c>
      <c r="J19" s="16">
        <v>33430</v>
      </c>
      <c r="K19">
        <v>16</v>
      </c>
      <c r="L19" s="23">
        <v>111</v>
      </c>
      <c r="M19" s="3">
        <v>0</v>
      </c>
      <c r="Q19" s="29">
        <v>30</v>
      </c>
      <c r="R19" s="30">
        <v>0.67499999999999993</v>
      </c>
      <c r="S19" s="30">
        <v>0.65999999999999992</v>
      </c>
      <c r="T19" s="30">
        <v>0.64499999999999991</v>
      </c>
      <c r="U19" s="30">
        <v>0.62999999999999989</v>
      </c>
      <c r="V19" s="30">
        <v>0.61499999999999988</v>
      </c>
      <c r="W19" s="30">
        <v>0.59999999999999987</v>
      </c>
      <c r="X19" s="30">
        <v>0.58499999999999985</v>
      </c>
      <c r="Y19" s="30">
        <v>0.56999999999999984</v>
      </c>
      <c r="Z19" s="30">
        <v>0.55499999999999983</v>
      </c>
      <c r="AA19" s="30">
        <v>0.53999999999999981</v>
      </c>
      <c r="AB19" s="30">
        <v>0.5249999999999998</v>
      </c>
    </row>
    <row r="20" spans="1:28" x14ac:dyDescent="0.25">
      <c r="A20" s="49"/>
      <c r="B20" s="50"/>
      <c r="D20" s="14">
        <v>123</v>
      </c>
      <c r="E20" s="14">
        <v>58</v>
      </c>
      <c r="F20" s="14">
        <v>65</v>
      </c>
      <c r="H20" s="7">
        <v>370</v>
      </c>
      <c r="I20" s="16">
        <v>31455</v>
      </c>
      <c r="J20" s="16">
        <v>32430</v>
      </c>
      <c r="K20">
        <v>15</v>
      </c>
      <c r="L20" s="23">
        <v>112</v>
      </c>
      <c r="M20" s="3">
        <v>0</v>
      </c>
      <c r="Q20" s="29">
        <v>31</v>
      </c>
      <c r="R20" s="31">
        <v>0.69</v>
      </c>
      <c r="S20" s="31">
        <v>0.67499999999999993</v>
      </c>
      <c r="T20" s="31">
        <v>0.65999999999999992</v>
      </c>
      <c r="U20" s="31">
        <v>0.64499999999999991</v>
      </c>
      <c r="V20" s="31">
        <v>0.62999999999999989</v>
      </c>
      <c r="W20" s="31">
        <v>0.61499999999999988</v>
      </c>
      <c r="X20" s="32">
        <v>0.59999999999999987</v>
      </c>
      <c r="Y20" s="32">
        <v>0.58499999999999985</v>
      </c>
      <c r="Z20" s="32">
        <v>0.56999999999999984</v>
      </c>
      <c r="AA20" s="32">
        <v>0.55499999999999983</v>
      </c>
      <c r="AB20" s="31">
        <v>0.53999999999999981</v>
      </c>
    </row>
    <row r="21" spans="1:28" x14ac:dyDescent="0.25">
      <c r="A21" s="49"/>
      <c r="B21" s="50"/>
      <c r="D21" s="14">
        <v>124</v>
      </c>
      <c r="E21" s="14">
        <v>58</v>
      </c>
      <c r="F21" s="14">
        <v>65</v>
      </c>
      <c r="H21" s="7">
        <v>350</v>
      </c>
      <c r="I21" s="16">
        <v>30485</v>
      </c>
      <c r="J21" s="16">
        <v>31430</v>
      </c>
      <c r="K21">
        <v>14</v>
      </c>
      <c r="Q21" s="29">
        <v>32</v>
      </c>
      <c r="R21" s="31">
        <v>0.70499999999999996</v>
      </c>
      <c r="S21" s="31">
        <v>0.69</v>
      </c>
      <c r="T21" s="31">
        <v>0.67499999999999993</v>
      </c>
      <c r="U21" s="31">
        <v>0.65999999999999992</v>
      </c>
      <c r="V21" s="31">
        <v>0.64499999999999991</v>
      </c>
      <c r="W21" s="31">
        <v>0.62999999999999989</v>
      </c>
      <c r="X21" s="32">
        <v>0.61499999999999988</v>
      </c>
      <c r="Y21" s="32">
        <v>0.59999999999999987</v>
      </c>
      <c r="Z21" s="32">
        <v>0.58499999999999985</v>
      </c>
      <c r="AA21" s="32">
        <v>0.56999999999999984</v>
      </c>
      <c r="AB21" s="31">
        <v>0.55499999999999983</v>
      </c>
    </row>
    <row r="22" spans="1:28" x14ac:dyDescent="0.25">
      <c r="A22" s="49"/>
      <c r="B22" s="50"/>
      <c r="D22" s="14">
        <v>125</v>
      </c>
      <c r="E22" s="14">
        <v>58</v>
      </c>
      <c r="F22" s="14">
        <v>65</v>
      </c>
      <c r="H22" s="7">
        <v>330</v>
      </c>
      <c r="I22" s="16">
        <v>29515</v>
      </c>
      <c r="J22" s="16">
        <v>30430</v>
      </c>
      <c r="K22">
        <v>13</v>
      </c>
      <c r="L22" s="345" t="s">
        <v>100</v>
      </c>
      <c r="M22" s="345"/>
      <c r="N22" s="345"/>
      <c r="Q22" s="29">
        <v>33</v>
      </c>
      <c r="R22" s="31">
        <v>0.72</v>
      </c>
      <c r="S22" s="31">
        <v>0.70499999999999996</v>
      </c>
      <c r="T22" s="31">
        <v>0.69</v>
      </c>
      <c r="U22" s="31">
        <v>0.67499999999999993</v>
      </c>
      <c r="V22" s="31">
        <v>0.65999999999999992</v>
      </c>
      <c r="W22" s="31">
        <v>0.64499999999999991</v>
      </c>
      <c r="X22" s="32">
        <v>0.62999999999999989</v>
      </c>
      <c r="Y22" s="32">
        <v>0.61499999999999988</v>
      </c>
      <c r="Z22" s="32">
        <v>0.59999999999999987</v>
      </c>
      <c r="AA22" s="32">
        <v>0.58499999999999985</v>
      </c>
      <c r="AB22" s="31">
        <v>0.56999999999999984</v>
      </c>
    </row>
    <row r="23" spans="1:28" x14ac:dyDescent="0.25">
      <c r="A23" s="49"/>
      <c r="B23" s="50"/>
      <c r="D23" s="14">
        <v>126</v>
      </c>
      <c r="E23" s="14">
        <v>58</v>
      </c>
      <c r="F23" s="14">
        <v>65</v>
      </c>
      <c r="H23" s="7">
        <v>310</v>
      </c>
      <c r="I23" s="16">
        <v>28545</v>
      </c>
      <c r="J23" s="16">
        <v>29435</v>
      </c>
      <c r="K23">
        <v>12</v>
      </c>
      <c r="L23" s="4">
        <v>1</v>
      </c>
      <c r="M23" s="346" t="s">
        <v>109</v>
      </c>
      <c r="N23" s="346"/>
      <c r="Q23" s="29">
        <v>34</v>
      </c>
      <c r="R23" s="31">
        <v>0.73499999999999999</v>
      </c>
      <c r="S23" s="31">
        <v>0.72</v>
      </c>
      <c r="T23" s="31">
        <v>0.70499999999999996</v>
      </c>
      <c r="U23" s="31">
        <v>0.69</v>
      </c>
      <c r="V23" s="31">
        <v>0.67499999999999993</v>
      </c>
      <c r="W23" s="31">
        <v>0.65999999999999992</v>
      </c>
      <c r="X23" s="32">
        <v>0.64499999999999991</v>
      </c>
      <c r="Y23" s="32">
        <v>0.62999999999999989</v>
      </c>
      <c r="Z23" s="32">
        <v>0.61499999999999988</v>
      </c>
      <c r="AA23" s="32">
        <v>0.59999999999999987</v>
      </c>
      <c r="AB23" s="31">
        <v>0.58499999999999985</v>
      </c>
    </row>
    <row r="24" spans="1:28" x14ac:dyDescent="0.25">
      <c r="A24" s="49"/>
      <c r="B24" s="50"/>
      <c r="D24" s="14">
        <v>127</v>
      </c>
      <c r="E24" s="14">
        <v>58</v>
      </c>
      <c r="F24" s="14">
        <v>65</v>
      </c>
      <c r="H24" s="7">
        <v>290</v>
      </c>
      <c r="I24" s="16">
        <v>27580</v>
      </c>
      <c r="J24" s="16">
        <v>28435</v>
      </c>
      <c r="K24">
        <v>11</v>
      </c>
      <c r="L24" s="4">
        <v>2</v>
      </c>
      <c r="M24" s="346" t="s">
        <v>110</v>
      </c>
      <c r="N24" s="346"/>
      <c r="Q24" s="29">
        <v>35</v>
      </c>
      <c r="R24" s="33">
        <v>0.75</v>
      </c>
      <c r="S24" s="33">
        <v>0.73499999999999999</v>
      </c>
      <c r="T24" s="33">
        <v>0.72</v>
      </c>
      <c r="U24" s="33">
        <v>0.70499999999999996</v>
      </c>
      <c r="V24" s="33">
        <v>0.69</v>
      </c>
      <c r="W24" s="33">
        <v>0.67499999999999993</v>
      </c>
      <c r="X24" s="33">
        <v>0.65999999999999992</v>
      </c>
      <c r="Y24" s="33">
        <v>0.64499999999999991</v>
      </c>
      <c r="Z24" s="33">
        <v>0.62999999999999989</v>
      </c>
      <c r="AA24" s="33">
        <v>0.61499999999999988</v>
      </c>
      <c r="AB24" s="33">
        <v>0.59999999999999987</v>
      </c>
    </row>
    <row r="25" spans="1:28" x14ac:dyDescent="0.25">
      <c r="A25" s="49"/>
      <c r="B25" s="50"/>
      <c r="D25" s="14">
        <v>128</v>
      </c>
      <c r="E25" s="14">
        <v>58</v>
      </c>
      <c r="F25" s="14">
        <v>65</v>
      </c>
      <c r="H25" s="7">
        <v>275</v>
      </c>
      <c r="I25" s="16">
        <v>26610</v>
      </c>
      <c r="J25" s="16">
        <v>27435</v>
      </c>
      <c r="K25">
        <v>10</v>
      </c>
      <c r="L25" s="4">
        <v>3</v>
      </c>
      <c r="M25" s="346" t="e">
        <f>CONCATENATE("減額(",IF(Reduction_Condition="符合",ROUND(Reduction_Rate*100,2),0),"%)領取")</f>
        <v>#VALUE!</v>
      </c>
      <c r="N25" s="346"/>
      <c r="Q25" s="29">
        <v>36</v>
      </c>
      <c r="R25" s="31">
        <v>0.755</v>
      </c>
      <c r="S25" s="31">
        <v>0.74</v>
      </c>
      <c r="T25" s="31">
        <v>0.72499999999999998</v>
      </c>
      <c r="U25" s="31">
        <v>0.71</v>
      </c>
      <c r="V25" s="31">
        <v>0.69499999999999995</v>
      </c>
      <c r="W25" s="31">
        <v>0.67999999999999994</v>
      </c>
      <c r="X25" s="32">
        <v>0.66499999999999992</v>
      </c>
      <c r="Y25" s="32">
        <v>0.64999999999999991</v>
      </c>
      <c r="Z25" s="32">
        <v>0.6349999999999999</v>
      </c>
      <c r="AA25" s="32">
        <v>0.61999999999999988</v>
      </c>
      <c r="AB25" s="31">
        <v>0.60499999999999987</v>
      </c>
    </row>
    <row r="26" spans="1:28" x14ac:dyDescent="0.25">
      <c r="A26" s="49"/>
      <c r="B26" s="50"/>
      <c r="D26" s="14">
        <v>129</v>
      </c>
      <c r="E26" s="14">
        <v>58</v>
      </c>
      <c r="F26" s="14">
        <v>65</v>
      </c>
      <c r="H26" s="7">
        <v>260</v>
      </c>
      <c r="I26" s="16">
        <v>25640</v>
      </c>
      <c r="J26" s="16">
        <v>26435</v>
      </c>
      <c r="K26">
        <v>9</v>
      </c>
      <c r="L26" s="4">
        <v>4</v>
      </c>
      <c r="M26" s="346" t="s">
        <v>97</v>
      </c>
      <c r="N26" s="346"/>
      <c r="Q26" s="29">
        <v>37</v>
      </c>
      <c r="R26" s="31">
        <v>0.76</v>
      </c>
      <c r="S26" s="31">
        <v>0.745</v>
      </c>
      <c r="T26" s="31">
        <v>0.73</v>
      </c>
      <c r="U26" s="31">
        <v>0.71499999999999997</v>
      </c>
      <c r="V26" s="31">
        <v>0.7</v>
      </c>
      <c r="W26" s="31">
        <v>0.68499999999999994</v>
      </c>
      <c r="X26" s="32">
        <v>0.66999999999999993</v>
      </c>
      <c r="Y26" s="32">
        <v>0.65499999999999992</v>
      </c>
      <c r="Z26" s="32">
        <v>0.6399999999999999</v>
      </c>
      <c r="AA26" s="32">
        <v>0.62499999999999989</v>
      </c>
      <c r="AB26" s="31">
        <v>0.60999999999999988</v>
      </c>
    </row>
    <row r="27" spans="1:28" x14ac:dyDescent="0.25">
      <c r="A27" s="49"/>
      <c r="B27" s="50"/>
      <c r="D27" s="14">
        <v>130</v>
      </c>
      <c r="E27" s="14">
        <v>58</v>
      </c>
      <c r="F27" s="14">
        <v>65</v>
      </c>
      <c r="H27" s="7">
        <v>245</v>
      </c>
      <c r="I27" s="16">
        <v>24670</v>
      </c>
      <c r="J27" s="16">
        <v>25435</v>
      </c>
      <c r="K27">
        <v>8</v>
      </c>
      <c r="L27" s="4">
        <v>5</v>
      </c>
      <c r="M27" s="346" t="s">
        <v>98</v>
      </c>
      <c r="N27" s="346"/>
      <c r="Q27" s="29">
        <v>38</v>
      </c>
      <c r="R27" s="31">
        <v>0.76500000000000001</v>
      </c>
      <c r="S27" s="31">
        <v>0.75</v>
      </c>
      <c r="T27" s="31">
        <v>0.73499999999999999</v>
      </c>
      <c r="U27" s="31">
        <v>0.72</v>
      </c>
      <c r="V27" s="31">
        <v>0.70499999999999996</v>
      </c>
      <c r="W27" s="31">
        <v>0.69</v>
      </c>
      <c r="X27" s="32">
        <v>0.67499999999999993</v>
      </c>
      <c r="Y27" s="32">
        <v>0.65999999999999992</v>
      </c>
      <c r="Z27" s="32">
        <v>0.64499999999999991</v>
      </c>
      <c r="AA27" s="32">
        <v>0.62999999999999989</v>
      </c>
      <c r="AB27" s="31">
        <v>0.61499999999999988</v>
      </c>
    </row>
    <row r="28" spans="1:28" x14ac:dyDescent="0.25">
      <c r="A28" s="49"/>
      <c r="B28" s="50"/>
      <c r="D28" s="14">
        <v>131</v>
      </c>
      <c r="E28" s="14">
        <v>58</v>
      </c>
      <c r="F28" s="14">
        <v>65</v>
      </c>
      <c r="H28" s="7">
        <v>230</v>
      </c>
      <c r="I28" s="16">
        <v>23700</v>
      </c>
      <c r="J28" s="16">
        <v>24440</v>
      </c>
      <c r="K28">
        <v>7</v>
      </c>
      <c r="L28" s="4">
        <v>6</v>
      </c>
      <c r="M28" s="346" t="s">
        <v>99</v>
      </c>
      <c r="N28" s="346"/>
      <c r="Q28" s="29">
        <v>39</v>
      </c>
      <c r="R28" s="31">
        <v>0.77</v>
      </c>
      <c r="S28" s="31">
        <v>0.755</v>
      </c>
      <c r="T28" s="31">
        <v>0.74</v>
      </c>
      <c r="U28" s="31">
        <v>0.72499999999999998</v>
      </c>
      <c r="V28" s="31">
        <v>0.71</v>
      </c>
      <c r="W28" s="31">
        <v>0.69499999999999995</v>
      </c>
      <c r="X28" s="32">
        <v>0.67999999999999994</v>
      </c>
      <c r="Y28" s="32">
        <v>0.66499999999999992</v>
      </c>
      <c r="Z28" s="32">
        <v>0.64999999999999991</v>
      </c>
      <c r="AA28" s="32">
        <v>0.6349999999999999</v>
      </c>
      <c r="AB28" s="31">
        <v>0.61999999999999988</v>
      </c>
    </row>
    <row r="29" spans="1:28" x14ac:dyDescent="0.25">
      <c r="A29" s="49"/>
      <c r="B29" s="50"/>
      <c r="D29" s="14">
        <v>132</v>
      </c>
      <c r="E29" s="14">
        <v>58</v>
      </c>
      <c r="F29" s="14">
        <v>65</v>
      </c>
      <c r="H29" s="7">
        <v>220</v>
      </c>
      <c r="I29" s="16">
        <v>23055</v>
      </c>
      <c r="J29" s="16">
        <v>23770</v>
      </c>
      <c r="K29">
        <v>6</v>
      </c>
      <c r="Q29" s="29">
        <v>40</v>
      </c>
      <c r="R29" s="33">
        <v>0.77500000000000002</v>
      </c>
      <c r="S29" s="33">
        <v>0.76</v>
      </c>
      <c r="T29" s="33">
        <v>0.745</v>
      </c>
      <c r="U29" s="33">
        <v>0.73</v>
      </c>
      <c r="V29" s="33">
        <v>0.71499999999999997</v>
      </c>
      <c r="W29" s="33">
        <v>0.7</v>
      </c>
      <c r="X29" s="33">
        <v>0.68499999999999994</v>
      </c>
      <c r="Y29" s="33">
        <v>0.66999999999999993</v>
      </c>
      <c r="Z29" s="33">
        <v>0.65499999999999992</v>
      </c>
      <c r="AA29" s="33">
        <v>0.6399999999999999</v>
      </c>
      <c r="AB29" s="33">
        <v>0.62499999999999989</v>
      </c>
    </row>
    <row r="30" spans="1:28" x14ac:dyDescent="0.25">
      <c r="A30" s="49"/>
      <c r="B30" s="50"/>
      <c r="D30" s="14">
        <v>133</v>
      </c>
      <c r="E30" s="14">
        <v>58</v>
      </c>
      <c r="F30" s="14">
        <v>65</v>
      </c>
      <c r="H30" s="7">
        <v>210</v>
      </c>
      <c r="I30" s="16">
        <v>22410</v>
      </c>
      <c r="J30" s="16">
        <v>23105</v>
      </c>
      <c r="K30">
        <v>5</v>
      </c>
      <c r="L30" s="345" t="s">
        <v>135</v>
      </c>
      <c r="M30" s="345"/>
    </row>
    <row r="31" spans="1:28" x14ac:dyDescent="0.25">
      <c r="A31" s="49"/>
      <c r="B31" s="50"/>
      <c r="D31" s="14">
        <v>134</v>
      </c>
      <c r="E31" s="14">
        <v>58</v>
      </c>
      <c r="F31" s="14">
        <v>65</v>
      </c>
      <c r="H31" s="7">
        <v>200</v>
      </c>
      <c r="I31" s="16">
        <v>21765</v>
      </c>
      <c r="J31" s="16">
        <v>22440</v>
      </c>
      <c r="K31">
        <v>4</v>
      </c>
      <c r="L31" s="3">
        <v>1</v>
      </c>
      <c r="M31" s="3">
        <v>31</v>
      </c>
      <c r="N31">
        <v>1</v>
      </c>
    </row>
    <row r="32" spans="1:28" x14ac:dyDescent="0.25">
      <c r="A32" s="49"/>
      <c r="B32" s="50"/>
      <c r="D32" s="14">
        <v>135</v>
      </c>
      <c r="E32" s="14">
        <v>58</v>
      </c>
      <c r="F32" s="14">
        <v>65</v>
      </c>
      <c r="H32" s="7">
        <v>190</v>
      </c>
      <c r="I32" s="16">
        <v>21120</v>
      </c>
      <c r="J32" s="16">
        <v>21775</v>
      </c>
      <c r="K32">
        <v>3</v>
      </c>
      <c r="L32" s="3">
        <v>3</v>
      </c>
      <c r="M32" s="3">
        <v>31</v>
      </c>
      <c r="N32">
        <v>2</v>
      </c>
    </row>
    <row r="33" spans="1:14" x14ac:dyDescent="0.25">
      <c r="A33" s="49"/>
      <c r="B33" s="50"/>
      <c r="D33" s="14">
        <v>136</v>
      </c>
      <c r="E33" s="14">
        <v>58</v>
      </c>
      <c r="F33" s="14">
        <v>65</v>
      </c>
      <c r="H33" s="7">
        <v>180</v>
      </c>
      <c r="I33" s="16">
        <v>20470</v>
      </c>
      <c r="J33" s="16">
        <v>21110</v>
      </c>
      <c r="K33">
        <v>2</v>
      </c>
      <c r="L33" s="3">
        <v>5</v>
      </c>
      <c r="M33" s="3">
        <v>31</v>
      </c>
      <c r="N33">
        <v>3</v>
      </c>
    </row>
    <row r="34" spans="1:14" x14ac:dyDescent="0.25">
      <c r="A34" s="49"/>
      <c r="B34" s="50"/>
      <c r="D34" s="14">
        <v>137</v>
      </c>
      <c r="E34" s="14">
        <v>58</v>
      </c>
      <c r="F34" s="14">
        <v>65</v>
      </c>
      <c r="H34" s="7">
        <v>170</v>
      </c>
      <c r="I34" s="16">
        <v>19825</v>
      </c>
      <c r="J34" s="16">
        <v>20440</v>
      </c>
      <c r="K34">
        <v>1</v>
      </c>
      <c r="L34" s="3">
        <v>7</v>
      </c>
      <c r="M34" s="3">
        <v>31</v>
      </c>
      <c r="N34">
        <v>4</v>
      </c>
    </row>
    <row r="35" spans="1:14" x14ac:dyDescent="0.25">
      <c r="A35" s="49"/>
      <c r="B35" s="50"/>
      <c r="D35" s="14">
        <v>138</v>
      </c>
      <c r="E35" s="14">
        <v>58</v>
      </c>
      <c r="F35" s="14">
        <v>65</v>
      </c>
      <c r="L35" s="3">
        <v>8</v>
      </c>
      <c r="M35" s="3">
        <v>31</v>
      </c>
      <c r="N35">
        <v>5</v>
      </c>
    </row>
    <row r="36" spans="1:14" x14ac:dyDescent="0.25">
      <c r="A36" s="49"/>
      <c r="B36" s="50"/>
      <c r="D36" s="14">
        <v>139</v>
      </c>
      <c r="E36" s="14">
        <v>58</v>
      </c>
      <c r="F36" s="14">
        <v>65</v>
      </c>
      <c r="L36" s="3">
        <v>10</v>
      </c>
      <c r="M36" s="3">
        <v>31</v>
      </c>
      <c r="N36">
        <v>6</v>
      </c>
    </row>
    <row r="37" spans="1:14" x14ac:dyDescent="0.25">
      <c r="A37" s="49"/>
      <c r="B37" s="50"/>
      <c r="D37" s="14">
        <v>140</v>
      </c>
      <c r="E37" s="14">
        <v>58</v>
      </c>
      <c r="F37" s="14">
        <v>65</v>
      </c>
      <c r="L37" s="3">
        <v>12</v>
      </c>
      <c r="M37" s="3">
        <v>31</v>
      </c>
      <c r="N37">
        <v>7</v>
      </c>
    </row>
    <row r="38" spans="1:14" x14ac:dyDescent="0.25">
      <c r="A38" s="49"/>
      <c r="B38" s="50"/>
      <c r="D38" s="14">
        <v>141</v>
      </c>
      <c r="E38" s="14">
        <v>58</v>
      </c>
      <c r="F38" s="14">
        <v>65</v>
      </c>
      <c r="L38" s="3">
        <v>2</v>
      </c>
      <c r="M38" s="3">
        <v>28</v>
      </c>
      <c r="N38">
        <v>8</v>
      </c>
    </row>
    <row r="39" spans="1:14" x14ac:dyDescent="0.25">
      <c r="A39" s="49"/>
      <c r="B39" s="50"/>
      <c r="D39" s="14">
        <v>142</v>
      </c>
      <c r="E39" s="14">
        <v>58</v>
      </c>
      <c r="F39" s="14">
        <v>65</v>
      </c>
      <c r="L39" s="3">
        <v>4</v>
      </c>
      <c r="M39" s="3">
        <v>30</v>
      </c>
      <c r="N39">
        <v>9</v>
      </c>
    </row>
    <row r="40" spans="1:14" x14ac:dyDescent="0.25">
      <c r="A40" s="49"/>
      <c r="B40" s="50"/>
      <c r="D40" s="14">
        <v>143</v>
      </c>
      <c r="E40" s="14">
        <v>58</v>
      </c>
      <c r="F40" s="14">
        <v>65</v>
      </c>
      <c r="L40" s="3">
        <v>6</v>
      </c>
      <c r="M40" s="3">
        <v>30</v>
      </c>
      <c r="N40">
        <v>10</v>
      </c>
    </row>
    <row r="41" spans="1:14" x14ac:dyDescent="0.25">
      <c r="A41" s="49"/>
      <c r="B41" s="50"/>
      <c r="D41" s="14">
        <v>144</v>
      </c>
      <c r="E41" s="14">
        <v>58</v>
      </c>
      <c r="F41" s="14">
        <v>65</v>
      </c>
      <c r="L41" s="3">
        <v>9</v>
      </c>
      <c r="M41" s="3">
        <v>30</v>
      </c>
      <c r="N41">
        <v>11</v>
      </c>
    </row>
    <row r="42" spans="1:14" x14ac:dyDescent="0.25">
      <c r="A42" s="49"/>
      <c r="B42" s="50"/>
      <c r="D42" s="14">
        <v>145</v>
      </c>
      <c r="E42" s="14">
        <v>58</v>
      </c>
      <c r="F42" s="14">
        <v>65</v>
      </c>
      <c r="L42" s="3">
        <v>11</v>
      </c>
      <c r="M42" s="3">
        <v>30</v>
      </c>
      <c r="N42">
        <v>12</v>
      </c>
    </row>
    <row r="43" spans="1:14" x14ac:dyDescent="0.25">
      <c r="A43" s="49"/>
      <c r="B43" s="50"/>
      <c r="D43" s="14">
        <v>146</v>
      </c>
      <c r="E43" s="14">
        <v>58</v>
      </c>
      <c r="F43" s="14">
        <v>65</v>
      </c>
      <c r="N43">
        <v>13</v>
      </c>
    </row>
    <row r="44" spans="1:14" x14ac:dyDescent="0.25">
      <c r="A44" s="49"/>
      <c r="B44" s="50"/>
      <c r="D44" s="14">
        <v>147</v>
      </c>
      <c r="E44" s="14">
        <v>58</v>
      </c>
      <c r="F44" s="14">
        <v>65</v>
      </c>
      <c r="N44">
        <v>14</v>
      </c>
    </row>
    <row r="45" spans="1:14" x14ac:dyDescent="0.25">
      <c r="A45" s="49"/>
      <c r="B45" s="50"/>
      <c r="D45" s="14">
        <v>148</v>
      </c>
      <c r="E45" s="14">
        <v>58</v>
      </c>
      <c r="F45" s="14">
        <v>65</v>
      </c>
      <c r="N45">
        <v>15</v>
      </c>
    </row>
    <row r="46" spans="1:14" x14ac:dyDescent="0.25">
      <c r="A46" s="49"/>
      <c r="B46" s="50"/>
      <c r="D46" s="14">
        <v>149</v>
      </c>
      <c r="E46" s="14">
        <v>58</v>
      </c>
      <c r="F46" s="14">
        <v>65</v>
      </c>
      <c r="N46">
        <v>16</v>
      </c>
    </row>
    <row r="47" spans="1:14" x14ac:dyDescent="0.25">
      <c r="A47" s="49"/>
      <c r="B47" s="50"/>
      <c r="D47" s="14">
        <v>150</v>
      </c>
      <c r="E47" s="14">
        <v>58</v>
      </c>
      <c r="F47" s="14">
        <v>65</v>
      </c>
      <c r="N47">
        <v>17</v>
      </c>
    </row>
    <row r="48" spans="1:14" x14ac:dyDescent="0.25">
      <c r="A48" s="49"/>
      <c r="B48" s="50"/>
      <c r="D48" s="14">
        <v>151</v>
      </c>
      <c r="E48" s="14">
        <v>58</v>
      </c>
      <c r="F48" s="14">
        <v>65</v>
      </c>
      <c r="N48">
        <v>18</v>
      </c>
    </row>
    <row r="49" spans="1:14" x14ac:dyDescent="0.25">
      <c r="A49" s="49"/>
      <c r="B49" s="50"/>
      <c r="D49" s="14">
        <v>152</v>
      </c>
      <c r="E49" s="14">
        <v>58</v>
      </c>
      <c r="F49" s="14">
        <v>65</v>
      </c>
      <c r="N49">
        <v>19</v>
      </c>
    </row>
    <row r="50" spans="1:14" x14ac:dyDescent="0.25">
      <c r="A50" s="49"/>
      <c r="B50" s="50"/>
      <c r="D50" s="14">
        <v>153</v>
      </c>
      <c r="E50" s="14">
        <v>58</v>
      </c>
      <c r="F50" s="14">
        <v>65</v>
      </c>
      <c r="N50">
        <v>20</v>
      </c>
    </row>
    <row r="51" spans="1:14" x14ac:dyDescent="0.25">
      <c r="A51" s="49"/>
      <c r="B51" s="50"/>
      <c r="D51" s="14">
        <v>154</v>
      </c>
      <c r="E51" s="14">
        <v>58</v>
      </c>
      <c r="F51" s="14">
        <v>65</v>
      </c>
      <c r="N51">
        <v>21</v>
      </c>
    </row>
    <row r="52" spans="1:14" x14ac:dyDescent="0.25">
      <c r="N52">
        <v>22</v>
      </c>
    </row>
    <row r="53" spans="1:14" x14ac:dyDescent="0.25">
      <c r="N53">
        <v>23</v>
      </c>
    </row>
    <row r="54" spans="1:14" x14ac:dyDescent="0.25">
      <c r="N54">
        <v>24</v>
      </c>
    </row>
    <row r="55" spans="1:14" x14ac:dyDescent="0.25">
      <c r="N55">
        <v>25</v>
      </c>
    </row>
    <row r="56" spans="1:14" x14ac:dyDescent="0.25">
      <c r="N56">
        <v>26</v>
      </c>
    </row>
    <row r="57" spans="1:14" x14ac:dyDescent="0.25">
      <c r="N57">
        <v>27</v>
      </c>
    </row>
    <row r="58" spans="1:14" x14ac:dyDescent="0.25">
      <c r="N58">
        <v>28</v>
      </c>
    </row>
    <row r="59" spans="1:14" x14ac:dyDescent="0.25">
      <c r="N59">
        <v>29</v>
      </c>
    </row>
    <row r="60" spans="1:14" x14ac:dyDescent="0.25">
      <c r="N60">
        <v>30</v>
      </c>
    </row>
    <row r="61" spans="1:14" x14ac:dyDescent="0.25">
      <c r="N61">
        <v>31</v>
      </c>
    </row>
  </sheetData>
  <protectedRanges>
    <protectedRange algorithmName="SHA-512" hashValue="k8Gy2rcg8onB6ua+FsIduRRy/JmxhaMcGWMRGwwqdyPMxcp4uNS9NziNYIy5bb2m+u/Vd6UpnjsbRI/jak/32w==" saltValue="TzkOnRkc28ZdNLIvxSY2rQ==" spinCount="100000" sqref="H2:J34" name="範圍1_1"/>
  </protectedRanges>
  <mergeCells count="35">
    <mergeCell ref="L30:M30"/>
    <mergeCell ref="M28:N28"/>
    <mergeCell ref="L22:N22"/>
    <mergeCell ref="M23:N23"/>
    <mergeCell ref="M24:N24"/>
    <mergeCell ref="M25:N25"/>
    <mergeCell ref="M26:N26"/>
    <mergeCell ref="M27:N27"/>
    <mergeCell ref="A1:B1"/>
    <mergeCell ref="D1:F1"/>
    <mergeCell ref="H1:J1"/>
    <mergeCell ref="L2:L3"/>
    <mergeCell ref="A2:A3"/>
    <mergeCell ref="E2:F2"/>
    <mergeCell ref="B2:B3"/>
    <mergeCell ref="D2:D3"/>
    <mergeCell ref="H2:H3"/>
    <mergeCell ref="M2:M3"/>
    <mergeCell ref="N2:N3"/>
    <mergeCell ref="O2:O3"/>
    <mergeCell ref="L1:O1"/>
    <mergeCell ref="I2:J2"/>
    <mergeCell ref="AA2:AA3"/>
    <mergeCell ref="AB2:AB3"/>
    <mergeCell ref="Q1:AB1"/>
    <mergeCell ref="V2:V3"/>
    <mergeCell ref="W2:W3"/>
    <mergeCell ref="X2:X3"/>
    <mergeCell ref="Y2:Y3"/>
    <mergeCell ref="Z2:Z3"/>
    <mergeCell ref="Q2:Q3"/>
    <mergeCell ref="R2:R3"/>
    <mergeCell ref="S2:S3"/>
    <mergeCell ref="T2:T3"/>
    <mergeCell ref="U2:U3"/>
  </mergeCells>
  <phoneticPr fontId="1" type="noConversion"/>
  <conditionalFormatting sqref="H2:J34 N4:O11">
    <cfRule type="expression" dxfId="1" priority="5">
      <formula>"$I$6=""是"""</formula>
    </cfRule>
  </conditionalFormatting>
  <conditionalFormatting sqref="N12:O12">
    <cfRule type="expression" dxfId="0" priority="1">
      <formula>"$I$6=""是"""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tabColor theme="7" tint="0.59999389629810485"/>
  </sheetPr>
  <dimension ref="A1:AE32"/>
  <sheetViews>
    <sheetView workbookViewId="0">
      <selection activeCell="AD20" sqref="AD20"/>
    </sheetView>
  </sheetViews>
  <sheetFormatPr defaultRowHeight="16.5" x14ac:dyDescent="0.25"/>
  <cols>
    <col min="1" max="1" width="22.875" customWidth="1"/>
    <col min="2" max="2" width="4.75" customWidth="1"/>
    <col min="3" max="4" width="3.625" customWidth="1"/>
    <col min="5" max="5" width="5.25" customWidth="1"/>
    <col min="6" max="6" width="10.375" customWidth="1"/>
    <col min="7" max="7" width="4.75" customWidth="1"/>
    <col min="8" max="9" width="3.625" customWidth="1"/>
    <col min="10" max="10" width="5.25" customWidth="1"/>
    <col min="11" max="11" width="10.125" customWidth="1"/>
    <col min="12" max="12" width="4.875" customWidth="1"/>
    <col min="13" max="13" width="4.75" customWidth="1"/>
    <col min="14" max="15" width="3.625" customWidth="1"/>
    <col min="16" max="17" width="5.25" customWidth="1"/>
    <col min="18" max="18" width="10" customWidth="1"/>
    <col min="19" max="19" width="4.75" customWidth="1"/>
    <col min="20" max="21" width="3.625" customWidth="1"/>
    <col min="22" max="23" width="5.25" customWidth="1"/>
    <col min="24" max="24" width="10.875" customWidth="1"/>
    <col min="25" max="25" width="5.375" customWidth="1"/>
    <col min="26" max="27" width="3.625" customWidth="1"/>
    <col min="28" max="28" width="4.75" customWidth="1"/>
    <col min="29" max="30" width="3.625" customWidth="1"/>
  </cols>
  <sheetData>
    <row r="1" spans="1:31" x14ac:dyDescent="0.25">
      <c r="A1" s="2" t="s">
        <v>184</v>
      </c>
      <c r="B1" s="155" t="str">
        <f>最早可退休日期!B2</f>
        <v>中等以下教師</v>
      </c>
      <c r="C1" s="155"/>
      <c r="D1" s="155"/>
      <c r="E1" s="156"/>
    </row>
    <row r="2" spans="1:31" x14ac:dyDescent="0.25">
      <c r="A2" s="2" t="s">
        <v>185</v>
      </c>
      <c r="B2" s="155" t="str">
        <f>最早可退休日期!D2</f>
        <v>副教授</v>
      </c>
      <c r="C2" s="155"/>
      <c r="D2" s="155"/>
      <c r="E2" s="156"/>
    </row>
    <row r="4" spans="1:31" x14ac:dyDescent="0.25">
      <c r="A4" s="343"/>
      <c r="B4" s="343" t="s">
        <v>146</v>
      </c>
      <c r="C4" s="343"/>
      <c r="D4" s="343"/>
      <c r="E4" s="343"/>
      <c r="F4" s="343"/>
      <c r="G4" s="343"/>
      <c r="H4" s="343"/>
      <c r="I4" s="343"/>
      <c r="J4" s="343"/>
      <c r="K4" s="348"/>
      <c r="L4" s="347" t="s">
        <v>139</v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</row>
    <row r="5" spans="1:31" x14ac:dyDescent="0.25">
      <c r="A5" s="343"/>
      <c r="B5" s="285" t="s">
        <v>140</v>
      </c>
      <c r="C5" s="286"/>
      <c r="D5" s="286"/>
      <c r="E5" s="286"/>
      <c r="F5" s="287"/>
      <c r="G5" s="278" t="s">
        <v>144</v>
      </c>
      <c r="H5" s="278"/>
      <c r="I5" s="278"/>
      <c r="J5" s="278"/>
      <c r="K5" s="285"/>
      <c r="L5" s="334" t="s">
        <v>138</v>
      </c>
      <c r="M5" s="278" t="s">
        <v>140</v>
      </c>
      <c r="N5" s="278"/>
      <c r="O5" s="278"/>
      <c r="P5" s="278"/>
      <c r="Q5" s="278"/>
      <c r="R5" s="278"/>
      <c r="S5" s="278" t="s">
        <v>141</v>
      </c>
      <c r="T5" s="278"/>
      <c r="U5" s="278"/>
      <c r="V5" s="278"/>
      <c r="W5" s="278"/>
      <c r="X5" s="278"/>
      <c r="Y5" s="278" t="s">
        <v>142</v>
      </c>
      <c r="Z5" s="278"/>
      <c r="AA5" s="278"/>
      <c r="AB5" s="278" t="s">
        <v>143</v>
      </c>
      <c r="AC5" s="278"/>
      <c r="AD5" s="278"/>
    </row>
    <row r="6" spans="1:31" ht="31.5" x14ac:dyDescent="0.25">
      <c r="A6" s="110"/>
      <c r="B6" s="104" t="s">
        <v>0</v>
      </c>
      <c r="C6" s="104" t="s">
        <v>1</v>
      </c>
      <c r="D6" s="104" t="s">
        <v>2</v>
      </c>
      <c r="E6" s="106" t="s">
        <v>148</v>
      </c>
      <c r="F6" s="104" t="s">
        <v>137</v>
      </c>
      <c r="G6" s="104" t="s">
        <v>0</v>
      </c>
      <c r="H6" s="104" t="s">
        <v>1</v>
      </c>
      <c r="I6" s="104" t="s">
        <v>2</v>
      </c>
      <c r="J6" s="144" t="s">
        <v>148</v>
      </c>
      <c r="K6" s="106" t="s">
        <v>137</v>
      </c>
      <c r="L6" s="334"/>
      <c r="M6" s="121" t="s">
        <v>0</v>
      </c>
      <c r="N6" s="121" t="s">
        <v>1</v>
      </c>
      <c r="O6" s="121" t="s">
        <v>2</v>
      </c>
      <c r="P6" s="144" t="s">
        <v>148</v>
      </c>
      <c r="Q6" s="143" t="s">
        <v>149</v>
      </c>
      <c r="R6" s="121" t="s">
        <v>137</v>
      </c>
      <c r="S6" s="121" t="s">
        <v>0</v>
      </c>
      <c r="T6" s="121" t="s">
        <v>1</v>
      </c>
      <c r="U6" s="121" t="s">
        <v>2</v>
      </c>
      <c r="V6" s="144" t="s">
        <v>148</v>
      </c>
      <c r="W6" s="121" t="s">
        <v>149</v>
      </c>
      <c r="X6" s="121" t="s">
        <v>137</v>
      </c>
      <c r="Y6" s="121" t="s">
        <v>0</v>
      </c>
      <c r="Z6" s="121" t="s">
        <v>1</v>
      </c>
      <c r="AA6" s="121" t="s">
        <v>2</v>
      </c>
      <c r="AB6" s="121" t="s">
        <v>0</v>
      </c>
      <c r="AC6" s="121" t="s">
        <v>1</v>
      </c>
      <c r="AD6" s="121" t="s">
        <v>2</v>
      </c>
    </row>
    <row r="7" spans="1:31" x14ac:dyDescent="0.25">
      <c r="A7" s="109" t="s">
        <v>15</v>
      </c>
      <c r="B7" s="52">
        <f>最早可退休日期!B5</f>
        <v>0</v>
      </c>
      <c r="C7" s="52">
        <f>最早可退休日期!C5</f>
        <v>0</v>
      </c>
      <c r="D7" s="52">
        <f>最早可退休日期!D5</f>
        <v>0</v>
      </c>
      <c r="E7" s="107"/>
      <c r="F7" s="115"/>
      <c r="G7" s="107"/>
      <c r="H7" s="107"/>
      <c r="I7" s="107"/>
      <c r="J7" s="107"/>
      <c r="K7" s="115"/>
      <c r="L7" s="122"/>
      <c r="M7" s="117">
        <v>45</v>
      </c>
      <c r="N7" s="117">
        <v>2</v>
      </c>
      <c r="O7" s="117">
        <v>1</v>
      </c>
      <c r="P7" s="118">
        <f t="shared" ref="P7:P8" si="0">VLOOKUP(N7,Month_Days,2,0)+IF(AND(N7=2,MOD(M7,4)=1),1,0)</f>
        <v>29</v>
      </c>
      <c r="Q7" s="117">
        <f>IF(O7=1,0,P7-O7+1)</f>
        <v>0</v>
      </c>
      <c r="R7" s="119">
        <f>DATEVALUE(CONCATENATE(M7+1911,"/",N7,"/",O7))</f>
        <v>20486</v>
      </c>
      <c r="S7" s="117">
        <v>45</v>
      </c>
      <c r="T7" s="117">
        <v>1</v>
      </c>
      <c r="U7" s="117">
        <v>31</v>
      </c>
      <c r="V7" s="120">
        <f t="shared" ref="V7" si="1">VLOOKUP(T7,Month_Days,2,0)+IF(AND(T7=2,MOD(S7,4)=1),1,0)</f>
        <v>31</v>
      </c>
      <c r="W7" s="117">
        <f>IF(U7=V7,0,U7)</f>
        <v>0</v>
      </c>
      <c r="X7" s="119">
        <f>DATEVALUE(CONCATENATE(S7+1911,"/",T7,"/",U7))</f>
        <v>20485</v>
      </c>
      <c r="Y7" s="285"/>
      <c r="Z7" s="286"/>
      <c r="AA7" s="286"/>
      <c r="AB7" s="286"/>
      <c r="AC7" s="286"/>
      <c r="AD7" s="287"/>
    </row>
    <row r="8" spans="1:31" x14ac:dyDescent="0.25">
      <c r="A8" s="109" t="s">
        <v>127</v>
      </c>
      <c r="B8" s="11">
        <f>最早可退休日期!B6</f>
        <v>0</v>
      </c>
      <c r="C8" s="11">
        <f>最早可退休日期!C6</f>
        <v>0</v>
      </c>
      <c r="D8" s="11">
        <f>最早可退休日期!D6</f>
        <v>0</v>
      </c>
      <c r="E8" s="107" t="e">
        <f t="shared" ref="E8:E18" si="2">IF(C8="","",VLOOKUP(C8,Month_Days,2,0)+IF(AND(C8=2,MOD(B8,4)=1),1,0))</f>
        <v>#N/A</v>
      </c>
      <c r="F8" s="114" t="e">
        <f>IF(B8="","",DATEVALUE(CONCATENATE(B8+1911,"/",C8,"/",D8)))</f>
        <v>#VALUE!</v>
      </c>
      <c r="G8" s="165">
        <f>(YEAR(最早可退休日期!I1002-1)&amp;"")-1911</f>
        <v>129</v>
      </c>
      <c r="H8" s="117">
        <f>MONTH(最早可退休日期!I1002-1)</f>
        <v>7</v>
      </c>
      <c r="I8" s="117">
        <f>DAY(最早可退休日期!I1002-1)</f>
        <v>31</v>
      </c>
      <c r="J8" s="107">
        <f t="shared" ref="J8:J18" si="3">IF(H8="","",VLOOKUP(H8,Month_Days,2,0)+IF(AND(H8=2,MOD(G8,4)=1),1,0))</f>
        <v>31</v>
      </c>
      <c r="K8" s="114">
        <f>IF(G8="","",DATEVALUE(CONCATENATE(G8+1911,"/",H8,"/",I8)))</f>
        <v>51348</v>
      </c>
      <c r="L8" s="122">
        <v>1</v>
      </c>
      <c r="M8" s="3">
        <f>B8</f>
        <v>0</v>
      </c>
      <c r="N8" s="3">
        <f>C8</f>
        <v>0</v>
      </c>
      <c r="O8" s="3">
        <f>D8</f>
        <v>0</v>
      </c>
      <c r="P8" s="107" t="e">
        <f t="shared" si="0"/>
        <v>#N/A</v>
      </c>
      <c r="Q8" s="3" t="e">
        <f>IF(O8=1,0,P8-O8+1)</f>
        <v>#N/A</v>
      </c>
      <c r="R8" s="114" t="e">
        <f>IF(F8="","",DATEVALUE(CONCATENATE(M8+1911,"/",N8,"/",O8)))</f>
        <v>#VALUE!</v>
      </c>
      <c r="S8" s="3">
        <f>IF(AND(B8&lt;&gt;"",B9=""),G$8,IF(B9="","",(YEAR(F9-1)&amp;"")-1911))</f>
        <v>129</v>
      </c>
      <c r="T8" s="3">
        <f>IF(AND(C8&lt;&gt;"",C9=""),H$8,IF(C9="","",MONTH(F9-1)))</f>
        <v>7</v>
      </c>
      <c r="U8" s="3">
        <f>IF(AND(D8&lt;&gt;"",D9=""),I$8,IF(D9="","",DAY(F9-1)))</f>
        <v>31</v>
      </c>
      <c r="V8" s="52">
        <f t="shared" ref="V8:V18" si="4">IF(S8="","",VLOOKUP(T8,Month_Days,2,0)+IF(AND(T8=2,MOD(S8,4)=1),1,0))</f>
        <v>31</v>
      </c>
      <c r="W8" s="3">
        <f t="shared" ref="W8:W15" si="5">IF(U8="","",IF(U8=V8,0,U8))</f>
        <v>0</v>
      </c>
      <c r="X8" s="116">
        <f>DATEVALUE(CONCATENATE(S8+1911,"/",T8,"/",U8))</f>
        <v>51348</v>
      </c>
      <c r="Y8" s="3" t="e">
        <f>IF(B8="",0,IF(AND(R8&lt;X$7,X8&lt;=X$7),S8-M8-1+ROUNDDOWN((T8-1+12-N8+COUNTIF(Q8,0)+COUNTIF(W8,0)+IF(AND(Q8&gt;0,W8&gt;0,Q8+W8&gt;=P8),1,0))/12,0),IF(AND(R8&lt;X$7,X8&gt;X$7),S$7-M8-1+ROUNDDOWN((T$7-1+12-N8+COUNTIF(Q8,0)+COUNTIF(W$7,0)+IF(AND(Q8&gt;0,W$7&gt;0,Q8+W$7&gt;=P8),1,0))/12,0),0)))</f>
        <v>#VALUE!</v>
      </c>
      <c r="Z8" s="3" t="e">
        <f>IF(B8="",0,IF(AND(R8&lt;X$7,X8&lt;=X$7),MOD(T8-1+12-N8+COUNTIF(Q8,0)+COUNTIF(W8,0)+IF(AND(Q8&gt;0,W8&gt;0,Q8+W8&gt;=P8),1,0),12),IF(AND(R8&lt;X$7,X8&gt;X$7),MOD(T$7-1+12-N8+COUNTIF(Q8,0)+COUNTIF(W$7,0)+IF(AND(Q8&gt;0,W$7&gt;0,Q8+W$7&gt;=P8),1,0),12),0)))</f>
        <v>#VALUE!</v>
      </c>
      <c r="AA8" s="3" t="e">
        <f>IF(B8="",0,IF(AND(R8&lt;X$7,X8&lt;=X$7),IF(AND(Q8&gt;0,W8&gt;0,Q8+W8&gt;=P8),Q8+W8-P8,Q8+W8),IF(AND(R8&lt;X$7,X8&gt;X$7),IF(AND(Q8&gt;0,W$7&gt;0,Q8+W$7&gt;=P8),Q8+W$7-P8,Q8+W$7),0)))</f>
        <v>#VALUE!</v>
      </c>
      <c r="AB8" s="3" t="e">
        <f>IF(B8="",0,IF(AND(R8&gt;=R$7,X8&gt;=R$7),S8-M8-1+ROUNDDOWN((T8-1+12-N8+COUNTIF(Q8,0)+COUNTIF(W8,0)+IF(AND(Q8&gt;0,W8&gt;0,Q8+W8&gt;=P8),1,0))/12,0),IF(AND(R8&lt;R$7,X8&gt;=R$7),S8-M$7-1+ROUNDDOWN((T8-1+12-N$7+COUNTIF(Q$7,0)+COUNTIF(W8,0)+IF(AND(Q$7&gt;0,W8&gt;0,Q$7+W8&gt;=P$7),1,0))/12,0),0)))</f>
        <v>#VALUE!</v>
      </c>
      <c r="AC8" s="3" t="e">
        <f>IF(B8="",0,IF(AND(R8&gt;=R$7,X8&gt;=R$7),MOD(T8-1+12-N8+COUNTIF(Q8,0)+COUNTIF(W8,0)+IF(AND(Q8&gt;0,W8&gt;0,Q8+W8&gt;=P8),1,0),12),IF(AND(R8&lt;R$7,X8&gt;=R$7),MOD(T8-1+12-N$7+COUNTIF(Q$7,0)+COUNTIF(W8,0)+IF(AND(Q$7&gt;0,W8&gt;0,Q$7+W8&gt;=P$7),1,0),12),0)))</f>
        <v>#VALUE!</v>
      </c>
      <c r="AD8" s="3" t="e">
        <f>IF(B8="",0,IF(AND(R8&gt;=R$7,X8&gt;=R$7),IF(AND(Q8&gt;0,W8&gt;0,Q8+W8&gt;=P8),Q8+W8-P8,Q8+W8),IF(AND(R8&lt;R$7,X8&gt;=R$7),IF(AND(Q$7&gt;0,W8&gt;0,Q$7+W8&gt;=P$7),Q$7+W8-P$7,Q$7+W8),0)))</f>
        <v>#VALUE!</v>
      </c>
      <c r="AE8" s="154" t="e">
        <f>IF(AND(AB8+AC8+AD8&gt;0,AB9+AC9+AD9&gt;0),1,0)</f>
        <v>#VALUE!</v>
      </c>
    </row>
    <row r="9" spans="1:31" x14ac:dyDescent="0.25">
      <c r="A9" s="109" t="s">
        <v>128</v>
      </c>
      <c r="B9" s="11" t="str">
        <f>IF(最早可退休日期!B10="","",最早可退休日期!B10)</f>
        <v/>
      </c>
      <c r="C9" s="11" t="str">
        <f>IF(最早可退休日期!C10="","",最早可退休日期!C10)</f>
        <v/>
      </c>
      <c r="D9" s="11" t="str">
        <f>IF(最早可退休日期!D10="","",最早可退休日期!D10)</f>
        <v/>
      </c>
      <c r="E9" s="107" t="str">
        <f t="shared" si="2"/>
        <v/>
      </c>
      <c r="F9" s="114" t="str">
        <f>IF(B9="","",DATEVALUE(CONCATENATE(B9+1911,"/",C9,"/",D9)))</f>
        <v/>
      </c>
      <c r="G9" s="108" t="str">
        <f>IF(最早可退休日期!E10="","",最早可退休日期!E10)</f>
        <v/>
      </c>
      <c r="H9" s="11" t="str">
        <f>IF(最早可退休日期!F10="","",最早可退休日期!F10)</f>
        <v/>
      </c>
      <c r="I9" s="11" t="str">
        <f>IF(最早可退休日期!G10="","",最早可退休日期!G10)</f>
        <v/>
      </c>
      <c r="J9" s="107" t="str">
        <f t="shared" si="3"/>
        <v/>
      </c>
      <c r="K9" s="114" t="str">
        <f>IF(G9="","",DATEVALUE(CONCATENATE(G9+1911,"/",H9,"/",I9)))</f>
        <v/>
      </c>
      <c r="L9" s="122">
        <v>2</v>
      </c>
      <c r="M9" s="3" t="str">
        <f>IF(G9="","",(YEAR(K9+1)&amp;"")-1911)</f>
        <v/>
      </c>
      <c r="N9" s="3" t="str">
        <f>IF(H9="","",MONTH(K9+1))</f>
        <v/>
      </c>
      <c r="O9" s="3" t="str">
        <f>IF(I9="","",DAY(K9+1))</f>
        <v/>
      </c>
      <c r="P9" s="107" t="str">
        <f t="shared" ref="P9:P18" si="6">IF(M9="","",VLOOKUP(N9,Month_Days,2,0)+IF(AND(N9=2,MOD(M9,4)=1),1,0))</f>
        <v/>
      </c>
      <c r="Q9" s="3" t="str">
        <f>IF(O9="","",IF(O9=1,0,P9-O9+1))</f>
        <v/>
      </c>
      <c r="R9" s="114" t="str">
        <f>IF(K9="","",DATEVALUE(CONCATENATE(M9+1911,"/",N9,"/",O9)))</f>
        <v/>
      </c>
      <c r="S9" s="3" t="str">
        <f t="shared" ref="S9:S15" si="7">IF(AND(B9&lt;&gt;"",B10=""),G$8,IF(B10="","",(YEAR(F10-1)&amp;"")-1911))</f>
        <v/>
      </c>
      <c r="T9" s="3" t="str">
        <f t="shared" ref="T9:T15" si="8">IF(AND(C9&lt;&gt;"",C10=""),H$8,IF(C10="","",MONTH(F10-1)))</f>
        <v/>
      </c>
      <c r="U9" s="3" t="str">
        <f t="shared" ref="U9:U15" si="9">IF(AND(D9&lt;&gt;"",D10=""),I$8,IF(D10="","",DAY(F10-1)))</f>
        <v/>
      </c>
      <c r="V9" s="52" t="str">
        <f t="shared" si="4"/>
        <v/>
      </c>
      <c r="W9" s="3" t="str">
        <f t="shared" si="5"/>
        <v/>
      </c>
      <c r="X9" s="116" t="str">
        <f>IF(S9="","",DATEVALUE(CONCATENATE(S9+1911,"/",T9,"/",U9)))</f>
        <v/>
      </c>
      <c r="Y9" s="3">
        <f t="shared" ref="Y9:Y18" si="10">IF(B9="",0,IF(AND(R9&lt;X$7,X9&lt;=X$7),S9-M9-1+ROUNDDOWN((T9-1+12-N9+COUNTIF(Q9,0)+COUNTIF(W9,0)+IF(AND(Q9&gt;0,W9&gt;0,Q9+W9&gt;=P9),1,0))/12,0),IF(AND(R9&lt;X$7,X9&gt;X$7),S$7-M9-1+ROUNDDOWN((T$7-1+12-N9+COUNTIF(Q9,0)+COUNTIF(W$7,0)+IF(AND(Q9&gt;0,W$7&gt;0,Q9+W$7&gt;=P9),1,0))/12,0),0)))</f>
        <v>0</v>
      </c>
      <c r="Z9" s="3">
        <f t="shared" ref="Z9:Z18" si="11">IF(B9="",0,IF(AND(R9&lt;X$7,X9&lt;=X$7),MOD(T9-1+12-N9+COUNTIF(Q9,0)+COUNTIF(W9,0)+IF(AND(Q9&gt;0,W9&gt;0,Q9+W9&gt;=P9),1,0),12),IF(AND(R9&lt;X$7,X9&gt;X$7),MOD(T$7-1+12-N9+COUNTIF(Q9,0)+COUNTIF(W$7,0)+IF(AND(Q9&gt;0,W$7&gt;0,Q9+W$7&gt;=P9),1,0),12),0)))</f>
        <v>0</v>
      </c>
      <c r="AA9" s="3">
        <f t="shared" ref="AA9:AA15" si="12">IF(B9="",0,IF(AND(R9&lt;X$7,X9&lt;=X$7),IF(AND(Q9&gt;0,W9&gt;0,Q9+W9&gt;=P9),Q9+W9-P9,Q9+W9),IF(AND(R9&lt;X$7,X9&gt;X$7),IF(AND(Q9&gt;0,W$7&gt;0,Q9+W$7&gt;=P9),Q9+W$7-P9,Q9+W$7),0)))</f>
        <v>0</v>
      </c>
      <c r="AB9" s="3">
        <f t="shared" ref="AB9:AB18" si="13">IF(B9="",0,IF(AND(R9&gt;=R$7,X9&gt;=R$7),S9-M9-1+ROUNDDOWN((T9-1+12-N9+COUNTIF(Q9,0)+COUNTIF(W9,0)+IF(AND(Q9&gt;0,W9&gt;0,Q9+W9&gt;=P9),1,0))/12,0),IF(AND(R9&lt;R$7,X9&gt;=R$7),S9-M$7-1+ROUNDDOWN((T9-1+12-N$7+COUNTIF(Q$7,0)+COUNTIF(W9,0)+IF(AND(Q$7&gt;0,W9&gt;0,Q$7+W9&gt;=P$7),1,0))/12,0),0)))</f>
        <v>0</v>
      </c>
      <c r="AC9" s="3">
        <f t="shared" ref="AC9:AC18" si="14">IF(B9="",0,IF(AND(R9&gt;=R$7,X9&gt;=R$7),MOD(T9-1+12-N9+COUNTIF(Q9,0)+COUNTIF(W9,0)+IF(AND(Q9&gt;0,W9&gt;0,Q9+W9&gt;=P9),1,0),12),IF(AND(R9&lt;R$7,X9&gt;=R$7),MOD(T9-1+12-N$7+COUNTIF(Q$7,0)+COUNTIF(W9,0)+IF(AND(Q$7&gt;0,W9&gt;0,Q$7+W9&gt;=P$7),1,0),12),0)))</f>
        <v>0</v>
      </c>
      <c r="AD9" s="3">
        <f t="shared" ref="AD9:AD15" si="15">IF(B9="",0,IF(AND(R9&gt;=R$7,X9&gt;=R$7),IF(AND(Q9&gt;0,W9&gt;0,Q9+W9&gt;=P9),Q9+W9-P9,Q9+W9),IF(AND(R9&lt;R$7,X9&gt;=R$7),IF(AND(Q$7&gt;0,W9&gt;0,Q$7+W9&gt;=P$7),Q$7+W9-P$7,Q$7+W9),0)))</f>
        <v>0</v>
      </c>
      <c r="AE9" s="154">
        <f t="shared" ref="AE9:AE15" si="16">IF(AND(AB9+AC9+AD9&gt;0,AB10+AC10+AD10&gt;0),1,0)</f>
        <v>0</v>
      </c>
    </row>
    <row r="10" spans="1:31" x14ac:dyDescent="0.25">
      <c r="A10" s="109" t="s">
        <v>129</v>
      </c>
      <c r="B10" s="11" t="str">
        <f>IF(最早可退休日期!B11="","",最早可退休日期!B11)</f>
        <v/>
      </c>
      <c r="C10" s="11" t="str">
        <f>IF(最早可退休日期!C11="","",最早可退休日期!C11)</f>
        <v/>
      </c>
      <c r="D10" s="11" t="str">
        <f>IF(最早可退休日期!D11="","",最早可退休日期!D11)</f>
        <v/>
      </c>
      <c r="E10" s="107" t="str">
        <f t="shared" si="2"/>
        <v/>
      </c>
      <c r="F10" s="114" t="str">
        <f t="shared" ref="F10:F18" si="17">IF(B10="","",DATEVALUE(CONCATENATE(B10+1911,"/",C10,"/",D10)))</f>
        <v/>
      </c>
      <c r="G10" s="108" t="str">
        <f>IF(最早可退休日期!E11="","",最早可退休日期!E11)</f>
        <v/>
      </c>
      <c r="H10" s="11" t="str">
        <f>IF(最早可退休日期!F11="","",最早可退休日期!F11)</f>
        <v/>
      </c>
      <c r="I10" s="11" t="str">
        <f>IF(最早可退休日期!G11="","",最早可退休日期!G11)</f>
        <v/>
      </c>
      <c r="J10" s="107" t="str">
        <f t="shared" si="3"/>
        <v/>
      </c>
      <c r="K10" s="114" t="str">
        <f t="shared" ref="K10:K18" si="18">IF(G10="","",DATEVALUE(CONCATENATE(G10+1911,"/",H10,"/",I10)))</f>
        <v/>
      </c>
      <c r="L10" s="122">
        <v>3</v>
      </c>
      <c r="M10" s="3" t="str">
        <f t="shared" ref="M10:M15" si="19">IF(G10="","",(YEAR(K10+1)&amp;"")-1911)</f>
        <v/>
      </c>
      <c r="N10" s="3" t="str">
        <f t="shared" ref="N10:N15" si="20">IF(H10="","",MONTH(K10+1))</f>
        <v/>
      </c>
      <c r="O10" s="3" t="str">
        <f t="shared" ref="O10:O15" si="21">IF(I10="","",DAY(K10+1))</f>
        <v/>
      </c>
      <c r="P10" s="107" t="str">
        <f t="shared" si="6"/>
        <v/>
      </c>
      <c r="Q10" s="3" t="str">
        <f t="shared" ref="Q10:Q18" si="22">IF(O10="","",IF(O10=1,0,P10-O10+1))</f>
        <v/>
      </c>
      <c r="R10" s="114" t="str">
        <f t="shared" ref="R10:R15" si="23">IF(K10="","",DATEVALUE(CONCATENATE(M10+1911,"/",N10,"/",O10)))</f>
        <v/>
      </c>
      <c r="S10" s="3" t="str">
        <f t="shared" si="7"/>
        <v/>
      </c>
      <c r="T10" s="3" t="str">
        <f t="shared" si="8"/>
        <v/>
      </c>
      <c r="U10" s="3" t="str">
        <f t="shared" si="9"/>
        <v/>
      </c>
      <c r="V10" s="52" t="str">
        <f t="shared" si="4"/>
        <v/>
      </c>
      <c r="W10" s="3" t="str">
        <f t="shared" si="5"/>
        <v/>
      </c>
      <c r="X10" s="116" t="str">
        <f t="shared" ref="X10:X15" si="24">IF(S10="","",DATEVALUE(CONCATENATE(S10+1911,"/",T10,"/",U10)))</f>
        <v/>
      </c>
      <c r="Y10" s="3">
        <f t="shared" si="10"/>
        <v>0</v>
      </c>
      <c r="Z10" s="3">
        <f t="shared" si="11"/>
        <v>0</v>
      </c>
      <c r="AA10" s="3">
        <f t="shared" si="12"/>
        <v>0</v>
      </c>
      <c r="AB10" s="3">
        <f t="shared" si="13"/>
        <v>0</v>
      </c>
      <c r="AC10" s="3">
        <f t="shared" si="14"/>
        <v>0</v>
      </c>
      <c r="AD10" s="3">
        <f t="shared" si="15"/>
        <v>0</v>
      </c>
      <c r="AE10" s="154">
        <f t="shared" si="16"/>
        <v>0</v>
      </c>
    </row>
    <row r="11" spans="1:31" x14ac:dyDescent="0.25">
      <c r="A11" s="109" t="s">
        <v>130</v>
      </c>
      <c r="B11" s="11" t="str">
        <f>IF(最早可退休日期!B12="","",最早可退休日期!B12)</f>
        <v/>
      </c>
      <c r="C11" s="11" t="str">
        <f>IF(最早可退休日期!C12="","",最早可退休日期!C12)</f>
        <v/>
      </c>
      <c r="D11" s="11" t="str">
        <f>IF(最早可退休日期!D12="","",最早可退休日期!D12)</f>
        <v/>
      </c>
      <c r="E11" s="107" t="str">
        <f t="shared" si="2"/>
        <v/>
      </c>
      <c r="F11" s="114" t="str">
        <f t="shared" si="17"/>
        <v/>
      </c>
      <c r="G11" s="11" t="str">
        <f>IF(最早可退休日期!E12="","",最早可退休日期!E12)</f>
        <v/>
      </c>
      <c r="H11" s="11" t="str">
        <f>IF(最早可退休日期!F12="","",最早可退休日期!F12)</f>
        <v/>
      </c>
      <c r="I11" s="11" t="str">
        <f>IF(最早可退休日期!G12="","",最早可退休日期!G12)</f>
        <v/>
      </c>
      <c r="J11" s="107" t="str">
        <f t="shared" si="3"/>
        <v/>
      </c>
      <c r="K11" s="114" t="str">
        <f t="shared" si="18"/>
        <v/>
      </c>
      <c r="L11" s="123">
        <v>4</v>
      </c>
      <c r="M11" s="3" t="str">
        <f t="shared" si="19"/>
        <v/>
      </c>
      <c r="N11" s="3" t="str">
        <f t="shared" si="20"/>
        <v/>
      </c>
      <c r="O11" s="3" t="str">
        <f t="shared" si="21"/>
        <v/>
      </c>
      <c r="P11" s="107" t="str">
        <f t="shared" si="6"/>
        <v/>
      </c>
      <c r="Q11" s="3" t="str">
        <f t="shared" si="22"/>
        <v/>
      </c>
      <c r="R11" s="114" t="str">
        <f t="shared" si="23"/>
        <v/>
      </c>
      <c r="S11" s="3" t="str">
        <f t="shared" si="7"/>
        <v/>
      </c>
      <c r="T11" s="3" t="str">
        <f t="shared" si="8"/>
        <v/>
      </c>
      <c r="U11" s="3" t="str">
        <f t="shared" si="9"/>
        <v/>
      </c>
      <c r="V11" s="52" t="str">
        <f t="shared" si="4"/>
        <v/>
      </c>
      <c r="W11" s="3" t="str">
        <f t="shared" si="5"/>
        <v/>
      </c>
      <c r="X11" s="116" t="str">
        <f t="shared" si="24"/>
        <v/>
      </c>
      <c r="Y11" s="3">
        <f t="shared" si="10"/>
        <v>0</v>
      </c>
      <c r="Z11" s="3">
        <f t="shared" si="11"/>
        <v>0</v>
      </c>
      <c r="AA11" s="3">
        <f t="shared" si="12"/>
        <v>0</v>
      </c>
      <c r="AB11" s="3">
        <f t="shared" si="13"/>
        <v>0</v>
      </c>
      <c r="AC11" s="3">
        <f t="shared" si="14"/>
        <v>0</v>
      </c>
      <c r="AD11" s="3">
        <f t="shared" si="15"/>
        <v>0</v>
      </c>
      <c r="AE11" s="154">
        <f t="shared" si="16"/>
        <v>0</v>
      </c>
    </row>
    <row r="12" spans="1:31" x14ac:dyDescent="0.25">
      <c r="A12" s="109" t="s">
        <v>131</v>
      </c>
      <c r="B12" s="11" t="str">
        <f>IF(最早可退休日期!B13="","",最早可退休日期!B13)</f>
        <v/>
      </c>
      <c r="C12" s="11" t="str">
        <f>IF(最早可退休日期!C13="","",最早可退休日期!C13)</f>
        <v/>
      </c>
      <c r="D12" s="11" t="str">
        <f>IF(最早可退休日期!D13="","",最早可退休日期!D13)</f>
        <v/>
      </c>
      <c r="E12" s="107" t="str">
        <f t="shared" si="2"/>
        <v/>
      </c>
      <c r="F12" s="114" t="str">
        <f t="shared" si="17"/>
        <v/>
      </c>
      <c r="G12" s="11" t="str">
        <f>IF(最早可退休日期!E13="","",最早可退休日期!E13)</f>
        <v/>
      </c>
      <c r="H12" s="11" t="str">
        <f>IF(最早可退休日期!F13="","",最早可退休日期!F13)</f>
        <v/>
      </c>
      <c r="I12" s="11" t="str">
        <f>IF(最早可退休日期!G13="","",最早可退休日期!G13)</f>
        <v/>
      </c>
      <c r="J12" s="107" t="str">
        <f t="shared" si="3"/>
        <v/>
      </c>
      <c r="K12" s="114" t="str">
        <f t="shared" si="18"/>
        <v/>
      </c>
      <c r="L12" s="123">
        <v>5</v>
      </c>
      <c r="M12" s="3" t="str">
        <f t="shared" si="19"/>
        <v/>
      </c>
      <c r="N12" s="3" t="str">
        <f t="shared" si="20"/>
        <v/>
      </c>
      <c r="O12" s="3" t="str">
        <f t="shared" si="21"/>
        <v/>
      </c>
      <c r="P12" s="107" t="str">
        <f t="shared" si="6"/>
        <v/>
      </c>
      <c r="Q12" s="3" t="str">
        <f t="shared" si="22"/>
        <v/>
      </c>
      <c r="R12" s="114" t="str">
        <f t="shared" si="23"/>
        <v/>
      </c>
      <c r="S12" s="3" t="str">
        <f t="shared" si="7"/>
        <v/>
      </c>
      <c r="T12" s="3" t="str">
        <f t="shared" si="8"/>
        <v/>
      </c>
      <c r="U12" s="3" t="str">
        <f t="shared" si="9"/>
        <v/>
      </c>
      <c r="V12" s="52" t="str">
        <f t="shared" si="4"/>
        <v/>
      </c>
      <c r="W12" s="3" t="str">
        <f t="shared" si="5"/>
        <v/>
      </c>
      <c r="X12" s="116" t="str">
        <f t="shared" si="24"/>
        <v/>
      </c>
      <c r="Y12" s="3">
        <f t="shared" si="10"/>
        <v>0</v>
      </c>
      <c r="Z12" s="3">
        <f t="shared" si="11"/>
        <v>0</v>
      </c>
      <c r="AA12" s="3">
        <f t="shared" si="12"/>
        <v>0</v>
      </c>
      <c r="AB12" s="3">
        <f t="shared" si="13"/>
        <v>0</v>
      </c>
      <c r="AC12" s="3">
        <f t="shared" si="14"/>
        <v>0</v>
      </c>
      <c r="AD12" s="3">
        <f t="shared" si="15"/>
        <v>0</v>
      </c>
      <c r="AE12" s="154">
        <f t="shared" si="16"/>
        <v>0</v>
      </c>
    </row>
    <row r="13" spans="1:31" x14ac:dyDescent="0.25">
      <c r="A13" s="109" t="s">
        <v>132</v>
      </c>
      <c r="B13" s="11" t="str">
        <f>IF(最早可退休日期!B14="","",最早可退休日期!B14)</f>
        <v/>
      </c>
      <c r="C13" s="11" t="str">
        <f>IF(最早可退休日期!C14="","",最早可退休日期!C14)</f>
        <v/>
      </c>
      <c r="D13" s="11" t="str">
        <f>IF(最早可退休日期!D14="","",最早可退休日期!D14)</f>
        <v/>
      </c>
      <c r="E13" s="107" t="str">
        <f t="shared" si="2"/>
        <v/>
      </c>
      <c r="F13" s="114" t="str">
        <f t="shared" si="17"/>
        <v/>
      </c>
      <c r="G13" s="11" t="str">
        <f>IF(最早可退休日期!E14="","",最早可退休日期!E14)</f>
        <v/>
      </c>
      <c r="H13" s="11" t="str">
        <f>IF(最早可退休日期!F14="","",最早可退休日期!F14)</f>
        <v/>
      </c>
      <c r="I13" s="11" t="str">
        <f>IF(最早可退休日期!G14="","",最早可退休日期!G14)</f>
        <v/>
      </c>
      <c r="J13" s="107" t="str">
        <f t="shared" si="3"/>
        <v/>
      </c>
      <c r="K13" s="114" t="str">
        <f t="shared" si="18"/>
        <v/>
      </c>
      <c r="L13" s="123">
        <v>6</v>
      </c>
      <c r="M13" s="3" t="str">
        <f t="shared" si="19"/>
        <v/>
      </c>
      <c r="N13" s="3" t="str">
        <f t="shared" si="20"/>
        <v/>
      </c>
      <c r="O13" s="3" t="str">
        <f t="shared" si="21"/>
        <v/>
      </c>
      <c r="P13" s="107" t="str">
        <f t="shared" si="6"/>
        <v/>
      </c>
      <c r="Q13" s="3" t="str">
        <f t="shared" si="22"/>
        <v/>
      </c>
      <c r="R13" s="114" t="str">
        <f t="shared" si="23"/>
        <v/>
      </c>
      <c r="S13" s="3" t="str">
        <f t="shared" si="7"/>
        <v/>
      </c>
      <c r="T13" s="3" t="str">
        <f t="shared" si="8"/>
        <v/>
      </c>
      <c r="U13" s="3" t="str">
        <f t="shared" si="9"/>
        <v/>
      </c>
      <c r="V13" s="52" t="str">
        <f t="shared" si="4"/>
        <v/>
      </c>
      <c r="W13" s="3" t="str">
        <f t="shared" si="5"/>
        <v/>
      </c>
      <c r="X13" s="116" t="str">
        <f t="shared" si="24"/>
        <v/>
      </c>
      <c r="Y13" s="3">
        <f t="shared" si="10"/>
        <v>0</v>
      </c>
      <c r="Z13" s="3">
        <f t="shared" si="11"/>
        <v>0</v>
      </c>
      <c r="AA13" s="3">
        <f t="shared" si="12"/>
        <v>0</v>
      </c>
      <c r="AB13" s="3">
        <f t="shared" si="13"/>
        <v>0</v>
      </c>
      <c r="AC13" s="3">
        <f t="shared" si="14"/>
        <v>0</v>
      </c>
      <c r="AD13" s="3">
        <f t="shared" si="15"/>
        <v>0</v>
      </c>
      <c r="AE13" s="154">
        <f t="shared" si="16"/>
        <v>0</v>
      </c>
    </row>
    <row r="14" spans="1:31" x14ac:dyDescent="0.25">
      <c r="A14" s="109" t="s">
        <v>133</v>
      </c>
      <c r="B14" s="11" t="str">
        <f>IF(最早可退休日期!B15="","",最早可退休日期!B15)</f>
        <v/>
      </c>
      <c r="C14" s="11" t="str">
        <f>IF(最早可退休日期!C15="","",最早可退休日期!C15)</f>
        <v/>
      </c>
      <c r="D14" s="11" t="str">
        <f>IF(最早可退休日期!D15="","",最早可退休日期!D15)</f>
        <v/>
      </c>
      <c r="E14" s="107" t="str">
        <f t="shared" si="2"/>
        <v/>
      </c>
      <c r="F14" s="114" t="str">
        <f t="shared" si="17"/>
        <v/>
      </c>
      <c r="G14" s="11" t="str">
        <f>IF(最早可退休日期!E15="","",最早可退休日期!E15)</f>
        <v/>
      </c>
      <c r="H14" s="11" t="str">
        <f>IF(最早可退休日期!F15="","",最早可退休日期!F15)</f>
        <v/>
      </c>
      <c r="I14" s="11" t="str">
        <f>IF(最早可退休日期!G15="","",最早可退休日期!G15)</f>
        <v/>
      </c>
      <c r="J14" s="107" t="str">
        <f t="shared" si="3"/>
        <v/>
      </c>
      <c r="K14" s="114" t="str">
        <f t="shared" si="18"/>
        <v/>
      </c>
      <c r="L14" s="123">
        <v>7</v>
      </c>
      <c r="M14" s="3" t="str">
        <f t="shared" si="19"/>
        <v/>
      </c>
      <c r="N14" s="3" t="str">
        <f t="shared" si="20"/>
        <v/>
      </c>
      <c r="O14" s="3" t="str">
        <f t="shared" si="21"/>
        <v/>
      </c>
      <c r="P14" s="107" t="str">
        <f t="shared" si="6"/>
        <v/>
      </c>
      <c r="Q14" s="3" t="str">
        <f t="shared" si="22"/>
        <v/>
      </c>
      <c r="R14" s="114" t="str">
        <f t="shared" si="23"/>
        <v/>
      </c>
      <c r="S14" s="3" t="str">
        <f t="shared" si="7"/>
        <v/>
      </c>
      <c r="T14" s="3" t="str">
        <f t="shared" si="8"/>
        <v/>
      </c>
      <c r="U14" s="3" t="str">
        <f t="shared" si="9"/>
        <v/>
      </c>
      <c r="V14" s="52" t="str">
        <f t="shared" si="4"/>
        <v/>
      </c>
      <c r="W14" s="3" t="str">
        <f t="shared" si="5"/>
        <v/>
      </c>
      <c r="X14" s="116" t="str">
        <f t="shared" si="24"/>
        <v/>
      </c>
      <c r="Y14" s="3">
        <f t="shared" si="10"/>
        <v>0</v>
      </c>
      <c r="Z14" s="3">
        <f t="shared" si="11"/>
        <v>0</v>
      </c>
      <c r="AA14" s="3">
        <f t="shared" si="12"/>
        <v>0</v>
      </c>
      <c r="AB14" s="3">
        <f t="shared" si="13"/>
        <v>0</v>
      </c>
      <c r="AC14" s="3">
        <f t="shared" si="14"/>
        <v>0</v>
      </c>
      <c r="AD14" s="3">
        <f t="shared" si="15"/>
        <v>0</v>
      </c>
      <c r="AE14" s="154">
        <f t="shared" si="16"/>
        <v>0</v>
      </c>
    </row>
    <row r="15" spans="1:31" x14ac:dyDescent="0.25">
      <c r="A15" s="124" t="s">
        <v>134</v>
      </c>
      <c r="B15" s="125" t="str">
        <f>IF(最早可退休日期!B16="","",最早可退休日期!B16)</f>
        <v/>
      </c>
      <c r="C15" s="125" t="str">
        <f>IF(最早可退休日期!C16="","",最早可退休日期!C16)</f>
        <v/>
      </c>
      <c r="D15" s="125" t="str">
        <f>IF(最早可退休日期!D16="","",最早可退休日期!D16)</f>
        <v/>
      </c>
      <c r="E15" s="126" t="str">
        <f t="shared" si="2"/>
        <v/>
      </c>
      <c r="F15" s="127" t="str">
        <f t="shared" si="17"/>
        <v/>
      </c>
      <c r="G15" s="125" t="str">
        <f>IF(最早可退休日期!E16="","",最早可退休日期!E16)</f>
        <v/>
      </c>
      <c r="H15" s="125" t="str">
        <f>IF(最早可退休日期!F16="","",最早可退休日期!F16)</f>
        <v/>
      </c>
      <c r="I15" s="125" t="str">
        <f>IF(最早可退休日期!G16="","",最早可退休日期!G16)</f>
        <v/>
      </c>
      <c r="J15" s="126" t="str">
        <f t="shared" si="3"/>
        <v/>
      </c>
      <c r="K15" s="127" t="str">
        <f t="shared" si="18"/>
        <v/>
      </c>
      <c r="L15" s="128">
        <v>8</v>
      </c>
      <c r="M15" s="129" t="str">
        <f t="shared" si="19"/>
        <v/>
      </c>
      <c r="N15" s="129" t="str">
        <f t="shared" si="20"/>
        <v/>
      </c>
      <c r="O15" s="129" t="str">
        <f t="shared" si="21"/>
        <v/>
      </c>
      <c r="P15" s="126" t="str">
        <f t="shared" si="6"/>
        <v/>
      </c>
      <c r="Q15" s="129" t="str">
        <f t="shared" si="22"/>
        <v/>
      </c>
      <c r="R15" s="127" t="str">
        <f t="shared" si="23"/>
        <v/>
      </c>
      <c r="S15" s="129" t="str">
        <f t="shared" si="7"/>
        <v/>
      </c>
      <c r="T15" s="129" t="str">
        <f t="shared" si="8"/>
        <v/>
      </c>
      <c r="U15" s="129" t="str">
        <f t="shared" si="9"/>
        <v/>
      </c>
      <c r="V15" s="130" t="str">
        <f t="shared" si="4"/>
        <v/>
      </c>
      <c r="W15" s="129" t="str">
        <f t="shared" si="5"/>
        <v/>
      </c>
      <c r="X15" s="131" t="str">
        <f t="shared" si="24"/>
        <v/>
      </c>
      <c r="Y15" s="129">
        <f t="shared" si="10"/>
        <v>0</v>
      </c>
      <c r="Z15" s="129">
        <f t="shared" si="11"/>
        <v>0</v>
      </c>
      <c r="AA15" s="129">
        <f t="shared" si="12"/>
        <v>0</v>
      </c>
      <c r="AB15" s="129">
        <f t="shared" si="13"/>
        <v>0</v>
      </c>
      <c r="AC15" s="129">
        <f t="shared" si="14"/>
        <v>0</v>
      </c>
      <c r="AD15" s="129">
        <f t="shared" si="15"/>
        <v>0</v>
      </c>
      <c r="AE15" s="154">
        <f t="shared" si="16"/>
        <v>0</v>
      </c>
    </row>
    <row r="16" spans="1:31" x14ac:dyDescent="0.25">
      <c r="A16" s="135" t="s">
        <v>145</v>
      </c>
      <c r="B16" s="136" t="str">
        <f>IF(最早可退休日期!B17="","",最早可退休日期!B17)</f>
        <v/>
      </c>
      <c r="C16" s="136" t="str">
        <f>IF(最早可退休日期!C17="","",最早可退休日期!C17)</f>
        <v/>
      </c>
      <c r="D16" s="136" t="str">
        <f>IF(最早可退休日期!D17="","",最早可退休日期!D17)</f>
        <v/>
      </c>
      <c r="E16" s="137" t="str">
        <f t="shared" si="2"/>
        <v/>
      </c>
      <c r="F16" s="138" t="str">
        <f t="shared" si="17"/>
        <v/>
      </c>
      <c r="G16" s="136" t="str">
        <f>IF(最早可退休日期!E17="","",最早可退休日期!E17)</f>
        <v/>
      </c>
      <c r="H16" s="136" t="str">
        <f>IF(最早可退休日期!F17="","",最早可退休日期!F17)</f>
        <v/>
      </c>
      <c r="I16" s="136" t="str">
        <f>IF(最早可退休日期!G17="","",最早可退休日期!G17)</f>
        <v/>
      </c>
      <c r="J16" s="137" t="str">
        <f t="shared" si="3"/>
        <v/>
      </c>
      <c r="K16" s="138" t="str">
        <f t="shared" si="18"/>
        <v/>
      </c>
      <c r="L16" s="139">
        <v>1</v>
      </c>
      <c r="M16" s="134" t="str">
        <f>IF(B16="","",B16)</f>
        <v/>
      </c>
      <c r="N16" s="134" t="str">
        <f>IF(C16="","",C16)</f>
        <v/>
      </c>
      <c r="O16" s="134" t="str">
        <f>IF(D16="","",D16)</f>
        <v/>
      </c>
      <c r="P16" s="137" t="str">
        <f t="shared" si="6"/>
        <v/>
      </c>
      <c r="Q16" s="134" t="str">
        <f t="shared" si="22"/>
        <v/>
      </c>
      <c r="R16" s="138" t="str">
        <f>F16</f>
        <v/>
      </c>
      <c r="S16" s="134" t="str">
        <f>IF(G16="","",G16)</f>
        <v/>
      </c>
      <c r="T16" s="134" t="str">
        <f>IF(H16="","",H16)</f>
        <v/>
      </c>
      <c r="U16" s="134" t="str">
        <f>IF(I16="","",I16)</f>
        <v/>
      </c>
      <c r="V16" s="140" t="str">
        <f t="shared" si="4"/>
        <v/>
      </c>
      <c r="W16" s="134" t="str">
        <f>IF(U16="","",IF(U16=V16,0,U16))</f>
        <v/>
      </c>
      <c r="X16" s="141" t="str">
        <f>K16</f>
        <v/>
      </c>
      <c r="Y16" s="134">
        <f t="shared" si="10"/>
        <v>0</v>
      </c>
      <c r="Z16" s="134">
        <f t="shared" si="11"/>
        <v>0</v>
      </c>
      <c r="AA16" s="134">
        <f>IF(B16="",0,IF(AND(R16&lt;X$7,X16&lt;=X$7),IF(AND(Q16&gt;0,W16&gt;0,Q16+W16&gt;=P16),Q16+W16-P16,Q16+W16),IF(AND(R16&lt;X$7,X16&gt;X$7),IF(AND(Q16&gt;0,W$7&gt;0,Q16+W$7&gt;=P16),Q16+W$7-P16,Q16+W$7),0)))</f>
        <v>0</v>
      </c>
      <c r="AB16" s="134">
        <f t="shared" si="13"/>
        <v>0</v>
      </c>
      <c r="AC16" s="134">
        <f t="shared" si="14"/>
        <v>0</v>
      </c>
      <c r="AD16" s="134">
        <f>IF(B16="",0,IF(AND(R16&gt;=R$7,X16&gt;=R$7),IF(AND(Q16&gt;0,W16&gt;0,Q16+W16&gt;=P16),Q16+W16-P16,Q16+W16),IF(AND(R16&lt;R$7,X16&gt;=R$7),IF(AND(Q$7&gt;0,W16&gt;0,Q$7+W16&gt;=P$7),Q$7+W16-P$7,Q$7+W16),0)))</f>
        <v>0</v>
      </c>
    </row>
    <row r="17" spans="1:30" x14ac:dyDescent="0.25">
      <c r="A17" s="132" t="s">
        <v>145</v>
      </c>
      <c r="B17" s="11" t="str">
        <f>IF(最早可退休日期!B18="","",最早可退休日期!B18)</f>
        <v/>
      </c>
      <c r="C17" s="11" t="str">
        <f>IF(最早可退休日期!C18="","",最早可退休日期!C18)</f>
        <v/>
      </c>
      <c r="D17" s="11" t="str">
        <f>IF(最早可退休日期!D18="","",最早可退休日期!D18)</f>
        <v/>
      </c>
      <c r="E17" s="107" t="str">
        <f t="shared" si="2"/>
        <v/>
      </c>
      <c r="F17" s="114" t="str">
        <f t="shared" si="17"/>
        <v/>
      </c>
      <c r="G17" s="11" t="str">
        <f>IF(最早可退休日期!E18="","",最早可退休日期!E18)</f>
        <v/>
      </c>
      <c r="H17" s="11" t="str">
        <f>IF(最早可退休日期!F18="","",最早可退休日期!F18)</f>
        <v/>
      </c>
      <c r="I17" s="11" t="str">
        <f>IF(最早可退休日期!G18="","",最早可退休日期!G18)</f>
        <v/>
      </c>
      <c r="J17" s="107" t="str">
        <f t="shared" si="3"/>
        <v/>
      </c>
      <c r="K17" s="114" t="str">
        <f t="shared" si="18"/>
        <v/>
      </c>
      <c r="L17" s="123">
        <v>2</v>
      </c>
      <c r="M17" s="133" t="str">
        <f t="shared" ref="M17:M18" si="25">IF(B17="","",B17)</f>
        <v/>
      </c>
      <c r="N17" s="133" t="str">
        <f t="shared" ref="N17:N18" si="26">IF(C17="","",C17)</f>
        <v/>
      </c>
      <c r="O17" s="133" t="str">
        <f t="shared" ref="O17:O18" si="27">IF(D17="","",D17)</f>
        <v/>
      </c>
      <c r="P17" s="107" t="str">
        <f t="shared" si="6"/>
        <v/>
      </c>
      <c r="Q17" s="3" t="str">
        <f t="shared" si="22"/>
        <v/>
      </c>
      <c r="R17" s="138" t="str">
        <f t="shared" ref="R17:R18" si="28">F17</f>
        <v/>
      </c>
      <c r="S17" s="133" t="str">
        <f t="shared" ref="S17:S18" si="29">IF(G17="","",G17)</f>
        <v/>
      </c>
      <c r="T17" s="133" t="str">
        <f t="shared" ref="T17:T18" si="30">IF(H17="","",H17)</f>
        <v/>
      </c>
      <c r="U17" s="133" t="str">
        <f t="shared" ref="U17:U18" si="31">IF(I17="","",I17)</f>
        <v/>
      </c>
      <c r="V17" s="52" t="str">
        <f t="shared" si="4"/>
        <v/>
      </c>
      <c r="W17" s="3" t="str">
        <f t="shared" ref="W17:W18" si="32">IF(U17="","",IF(U17=V17,0,U17))</f>
        <v/>
      </c>
      <c r="X17" s="116" t="str">
        <f t="shared" ref="X17:X18" si="33">K17</f>
        <v/>
      </c>
      <c r="Y17" s="3">
        <f t="shared" si="10"/>
        <v>0</v>
      </c>
      <c r="Z17" s="3">
        <f t="shared" si="11"/>
        <v>0</v>
      </c>
      <c r="AA17" s="3">
        <f t="shared" ref="AA17:AA18" si="34">IF(B17="",0,IF(AND(R17&lt;X$7,X17&lt;=X$7),IF(AND(Q17&gt;0,W17&gt;0,Q17+W17&gt;=P17),Q17+W17-P17,Q17+W17),IF(AND(R17&lt;X$7,X17&gt;X$7),IF(AND(Q17&gt;0,W$7&gt;0,Q17+W$7&gt;=P17),Q17+W$7-P17,Q17+W$7),0)))</f>
        <v>0</v>
      </c>
      <c r="AB17" s="3">
        <f t="shared" si="13"/>
        <v>0</v>
      </c>
      <c r="AC17" s="3">
        <f t="shared" si="14"/>
        <v>0</v>
      </c>
      <c r="AD17" s="3">
        <f t="shared" ref="AD17:AD18" si="35">IF(B17="",0,IF(AND(R17&gt;=R$7,X17&gt;=R$7),IF(AND(Q17&gt;0,W17&gt;0,Q17+W17&gt;=P17),Q17+W17-P17,Q17+W17),IF(AND(R17&lt;R$7,X17&gt;=R$7),IF(AND(Q$7&gt;0,W17&gt;0,Q$7+W17&gt;=P$7),Q$7+W17-P$7,Q$7+W17),0)))</f>
        <v>0</v>
      </c>
    </row>
    <row r="18" spans="1:30" x14ac:dyDescent="0.25">
      <c r="A18" s="132" t="s">
        <v>145</v>
      </c>
      <c r="B18" s="11" t="str">
        <f>IF(最早可退休日期!B19="","",最早可退休日期!B19)</f>
        <v/>
      </c>
      <c r="C18" s="11" t="str">
        <f>IF(最早可退休日期!C19="","",最早可退休日期!C19)</f>
        <v/>
      </c>
      <c r="D18" s="11" t="str">
        <f>IF(最早可退休日期!D19="","",最早可退休日期!D19)</f>
        <v/>
      </c>
      <c r="E18" s="107" t="str">
        <f t="shared" si="2"/>
        <v/>
      </c>
      <c r="F18" s="114" t="str">
        <f t="shared" si="17"/>
        <v/>
      </c>
      <c r="G18" s="11" t="str">
        <f>IF(最早可退休日期!E19="","",最早可退休日期!E19)</f>
        <v/>
      </c>
      <c r="H18" s="11" t="str">
        <f>IF(最早可退休日期!F19="","",最早可退休日期!F19)</f>
        <v/>
      </c>
      <c r="I18" s="11" t="str">
        <f>IF(最早可退休日期!G19="","",最早可退休日期!G19)</f>
        <v/>
      </c>
      <c r="J18" s="107" t="str">
        <f t="shared" si="3"/>
        <v/>
      </c>
      <c r="K18" s="114" t="str">
        <f t="shared" si="18"/>
        <v/>
      </c>
      <c r="L18" s="123">
        <v>3</v>
      </c>
      <c r="M18" s="133" t="str">
        <f t="shared" si="25"/>
        <v/>
      </c>
      <c r="N18" s="133" t="str">
        <f t="shared" si="26"/>
        <v/>
      </c>
      <c r="O18" s="133" t="str">
        <f t="shared" si="27"/>
        <v/>
      </c>
      <c r="P18" s="107" t="str">
        <f t="shared" si="6"/>
        <v/>
      </c>
      <c r="Q18" s="3" t="str">
        <f t="shared" si="22"/>
        <v/>
      </c>
      <c r="R18" s="138" t="str">
        <f t="shared" si="28"/>
        <v/>
      </c>
      <c r="S18" s="133" t="str">
        <f t="shared" si="29"/>
        <v/>
      </c>
      <c r="T18" s="133" t="str">
        <f t="shared" si="30"/>
        <v/>
      </c>
      <c r="U18" s="133" t="str">
        <f t="shared" si="31"/>
        <v/>
      </c>
      <c r="V18" s="52" t="str">
        <f t="shared" si="4"/>
        <v/>
      </c>
      <c r="W18" s="3" t="str">
        <f t="shared" si="32"/>
        <v/>
      </c>
      <c r="X18" s="116" t="str">
        <f t="shared" si="33"/>
        <v/>
      </c>
      <c r="Y18" s="3">
        <f t="shared" si="10"/>
        <v>0</v>
      </c>
      <c r="Z18" s="3">
        <f t="shared" si="11"/>
        <v>0</v>
      </c>
      <c r="AA18" s="3">
        <f t="shared" si="34"/>
        <v>0</v>
      </c>
      <c r="AB18" s="3">
        <f t="shared" si="13"/>
        <v>0</v>
      </c>
      <c r="AC18" s="3">
        <f t="shared" si="14"/>
        <v>0</v>
      </c>
      <c r="AD18" s="3">
        <f t="shared" si="35"/>
        <v>0</v>
      </c>
    </row>
    <row r="19" spans="1:30" x14ac:dyDescent="0.25">
      <c r="A19" s="109" t="s">
        <v>147</v>
      </c>
      <c r="B19" s="11"/>
      <c r="C19" s="11"/>
      <c r="D19" s="11"/>
      <c r="E19" s="107"/>
      <c r="F19" s="114"/>
      <c r="G19" s="11"/>
      <c r="H19" s="11"/>
      <c r="I19" s="11"/>
      <c r="J19" s="107"/>
      <c r="K19" s="114"/>
      <c r="L19" s="122"/>
      <c r="M19" s="3"/>
      <c r="N19" s="3"/>
      <c r="O19" s="3"/>
      <c r="P19" s="3"/>
      <c r="Q19" s="3"/>
      <c r="R19" s="113"/>
      <c r="S19" s="3"/>
      <c r="T19" s="3"/>
      <c r="U19" s="3"/>
      <c r="V19" s="3"/>
      <c r="W19" s="3"/>
      <c r="X19" s="113"/>
      <c r="Y19" s="142" t="e">
        <f>SUM(Y8:Y18)+ROUNDDOWN((SUM(Z8:Z18)+ROUNDDOWN(SUM(AA8:AA18)/30,0))/12,0)</f>
        <v>#VALUE!</v>
      </c>
      <c r="Z19" s="142" t="e">
        <f>MOD(SUM(Z8:Z18)+ROUNDDOWN(SUM(AA8:AA18)/30,0),12)</f>
        <v>#VALUE!</v>
      </c>
      <c r="AA19" s="142" t="e">
        <f>MOD(SUM(AA8:AA18),30)</f>
        <v>#VALUE!</v>
      </c>
      <c r="AB19" s="142" t="e">
        <f>SUM(AB8:AB18)+ROUNDDOWN((SUM(AC8:AC18)+ROUNDDOWN(SUM(AD8:AD18)/30,0))/12,0)</f>
        <v>#VALUE!</v>
      </c>
      <c r="AC19" s="142" t="e">
        <f>MOD(SUM(AC8:AC18)+ROUNDDOWN(SUM(AD8:AD18)/30,0),12)</f>
        <v>#VALUE!</v>
      </c>
      <c r="AD19" s="142" t="e">
        <f>MOD(SUM(AD8:AD18),30)</f>
        <v>#VALUE!</v>
      </c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X20" s="145"/>
      <c r="Y20" s="52" t="e">
        <f>SUM(Y8:Y18)+ROUNDDOWN((SUM(Z8:Z18)+ROUNDDOWN(SUM(AA8:AA18)/30,0))/12,0)</f>
        <v>#VALUE!</v>
      </c>
      <c r="Z20" s="52" t="e">
        <f>MOD(SUM(Z8:Z18)+ROUNDDOWN(SUM(AA8:AA18)/30,0),12)</f>
        <v>#VALUE!</v>
      </c>
      <c r="AA20" s="52" t="e">
        <f>MOD(SUM(AA8:AA18),30)</f>
        <v>#VALUE!</v>
      </c>
      <c r="AB20" s="52">
        <f>SUMIF($AE8:$AE15,1,AB8:AB15)+SUM(AB16:AB18)+ROUNDDOWN((SUMIF($AE8:$AE15,1,AC8:AC15)+SUM(AC16:AC18)+ROUNDDOWN((SUMIF($AE8:$AE15,1,AD8:AD15)+SUM(AD16:AD18))/30,0))/12,0)</f>
        <v>0</v>
      </c>
      <c r="AC20" s="52">
        <f>MOD(SUMIF($AE8:$AE15,1,AC8:AC15)+SUM(AC16:AC18)++ROUNDDOWN((SUMIF($AE8:$AE15,1,AD8:AD15)+SUM(AD16:AD18))/30,0),12)</f>
        <v>0</v>
      </c>
      <c r="AD20" s="52">
        <f>MOD(SUMIF($AE8:$AE15,1,AD8:AD15)+SUM(AD16:AD18),30)</f>
        <v>0</v>
      </c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78" t="s">
        <v>150</v>
      </c>
      <c r="V21" s="278"/>
      <c r="W21" s="278"/>
      <c r="X21" s="278"/>
      <c r="Y21" s="52" t="e">
        <f>Y19+AB19+ROUNDDOWN((Z19+AC19+ROUNDDOWN((AA19+AD19)/30,0))/12,0)</f>
        <v>#VALUE!</v>
      </c>
      <c r="Z21" s="52" t="e">
        <f>MOD(Z19+AC19+ROUNDDOWN((AA19+AD19)/30,0),12)</f>
        <v>#VALUE!</v>
      </c>
      <c r="AA21" s="52" t="e">
        <f>MOD(AA19+AD19,30)</f>
        <v>#VALUE!</v>
      </c>
      <c r="AB21" s="52" t="e">
        <f>Y20+AB20+ROUNDDOWN((Z20+AC20+ROUNDDOWN((AA20+AD20)/30,0))/12,0)</f>
        <v>#VALUE!</v>
      </c>
      <c r="AC21" s="52" t="e">
        <f>MOD(Z20+AC20+ROUNDDOWN((AA20+AD20)/30,0),12)</f>
        <v>#VALUE!</v>
      </c>
      <c r="AD21" s="52" t="e">
        <f>MOD(AA20+AD20,30)</f>
        <v>#VALUE!</v>
      </c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78" t="e">
        <f>"距"&amp;X22&amp;"年資差距"</f>
        <v>#VALUE!</v>
      </c>
      <c r="V22" s="278"/>
      <c r="W22" s="285"/>
      <c r="X22" s="153" t="e">
        <f>AB21+1</f>
        <v>#VALUE!</v>
      </c>
      <c r="Y22" s="3" t="e">
        <f>IF(Z21+AA21=0,X22-Y21,X22-Y21-1)</f>
        <v>#VALUE!</v>
      </c>
      <c r="Z22" s="3" t="e">
        <f>IF(AA21&gt;0,11-Z21,IF(Z21=0,0,12-Z21))</f>
        <v>#VALUE!</v>
      </c>
      <c r="AA22" s="3" t="e">
        <f>IF(AA21=0,0,30-AA21)</f>
        <v>#VALUE!</v>
      </c>
      <c r="AB22" s="147" t="e">
        <f>IF(AC21+AD21=0,X22-AB21,X22-AB21-1)</f>
        <v>#VALUE!</v>
      </c>
      <c r="AC22" s="147" t="e">
        <f>IF(AD21&gt;0,11-AC21,IF(AC21=0,0,12-AC21))</f>
        <v>#VALUE!</v>
      </c>
      <c r="AD22" s="147" t="e">
        <f>IF(AD21=0,0,30-AD21)</f>
        <v>#VALUE!</v>
      </c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30" x14ac:dyDescent="0.25">
      <c r="A28" s="105"/>
      <c r="B28" s="39" t="s">
        <v>0</v>
      </c>
      <c r="C28" s="57" t="s">
        <v>1</v>
      </c>
      <c r="D28" s="58" t="s">
        <v>2</v>
      </c>
      <c r="E28" s="59" t="s">
        <v>0</v>
      </c>
      <c r="F28" s="58" t="s">
        <v>1</v>
      </c>
      <c r="G28" s="40" t="s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30" x14ac:dyDescent="0.25">
      <c r="A29" s="39" t="s">
        <v>3</v>
      </c>
      <c r="B29" s="52"/>
      <c r="C29" s="52"/>
      <c r="D29" s="52"/>
      <c r="E29" s="9">
        <f>IF(IF(D29&gt;0,C29+1,C29)=12,B29+1,B29)</f>
        <v>0</v>
      </c>
      <c r="F29" s="105">
        <f>IF(IF(D29&gt;0,C29+1,C29)=12,0,IF(D29&gt;0,C29+1,C29))</f>
        <v>0</v>
      </c>
      <c r="G29" s="9" t="e">
        <f>IF(Old_month&gt;0,Old_Year+1,Old_Year)</f>
        <v>#VALUE!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30" x14ac:dyDescent="0.25">
      <c r="A30" s="39" t="s">
        <v>8</v>
      </c>
      <c r="B30" s="52"/>
      <c r="C30" s="52"/>
      <c r="D30" s="52"/>
      <c r="E30" s="9">
        <f>IF(IF(D30&gt;0,C30+1,C30)=12,B30+1,B30)</f>
        <v>0</v>
      </c>
      <c r="F30" s="105">
        <f>IF(IF(D30&gt;0,C30+1,C30)=12,0,IF(D30&gt;0,C30+1,C30))</f>
        <v>0</v>
      </c>
      <c r="G30" s="4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13">
    <mergeCell ref="A4:A5"/>
    <mergeCell ref="AB5:AD5"/>
    <mergeCell ref="L4:AD4"/>
    <mergeCell ref="L5:L6"/>
    <mergeCell ref="Y5:AA5"/>
    <mergeCell ref="B5:F5"/>
    <mergeCell ref="G5:K5"/>
    <mergeCell ref="B4:K4"/>
    <mergeCell ref="U22:W22"/>
    <mergeCell ref="U21:X21"/>
    <mergeCell ref="Y7:AD7"/>
    <mergeCell ref="M5:R5"/>
    <mergeCell ref="S5:X5"/>
  </mergeCells>
  <phoneticPr fontId="1" type="noConversion"/>
  <dataValidations disablePrompts="1" count="3">
    <dataValidation type="list" allowBlank="1" showInputMessage="1" showErrorMessage="1" sqref="C19 H19">
      <formula1>"1,2,3,4,5,6,7,8,9,10,11,12"</formula1>
    </dataValidation>
    <dataValidation type="list" allowBlank="1" showInputMessage="1" showErrorMessage="1" sqref="B1">
      <formula1>"中等以下教師,其他"</formula1>
    </dataValidation>
    <dataValidation type="list" allowBlank="1" showInputMessage="1" showErrorMessage="1" sqref="I19">
      <formula1>IF(J19=30,$N$31:$N$60,IF(J19=29,$N$31:$N$59,IF(J19=28,$N$31:$N$58,$N$31:$N$61)))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IF(E19=30,參照表!$N$31:$N$60,IF(E19=29,參照表!$N$31:$N$59,IF(E19=28,參照表!$N$31:$N$58,參照表!$N$31:$N$61)))</xm:f>
          </x14:formula1>
          <xm:sqref>D19</xm:sqref>
        </x14:dataValidation>
        <x14:dataValidation type="list" allowBlank="1" showInputMessage="1" showErrorMessage="1">
          <x14:formula1>
            <xm:f>IF($B$1="中等以下教師",參照表!$L$4:$L$6,參照表!$L$4:$L$12)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45</vt:i4>
      </vt:variant>
    </vt:vector>
  </HeadingPairs>
  <TitlesOfParts>
    <vt:vector size="52" baseType="lpstr">
      <vt:lpstr>最早可退休日期</vt:lpstr>
      <vt:lpstr>試算各年退休條件</vt:lpstr>
      <vt:lpstr>年資計算明細</vt:lpstr>
      <vt:lpstr>計算過程</vt:lpstr>
      <vt:lpstr>個人退休時間點比較表</vt:lpstr>
      <vt:lpstr>參照表</vt:lpstr>
      <vt:lpstr>最早退休日期</vt:lpstr>
      <vt:lpstr>Age_Month</vt:lpstr>
      <vt:lpstr>Age_Year</vt:lpstr>
      <vt:lpstr>Avg_Salary</vt:lpstr>
      <vt:lpstr>Basic_Year</vt:lpstr>
      <vt:lpstr>Case</vt:lpstr>
      <vt:lpstr>Compensation</vt:lpstr>
      <vt:lpstr>Earliest_Extention</vt:lpstr>
      <vt:lpstr>Earliest_Full</vt:lpstr>
      <vt:lpstr>Earliest_Reduction</vt:lpstr>
      <vt:lpstr>ExtensionOrReduction</vt:lpstr>
      <vt:lpstr>Floor</vt:lpstr>
      <vt:lpstr>Floor1</vt:lpstr>
      <vt:lpstr>Floor2</vt:lpstr>
      <vt:lpstr>Full_Condition</vt:lpstr>
      <vt:lpstr>Highest_Point</vt:lpstr>
      <vt:lpstr>Index</vt:lpstr>
      <vt:lpstr>Insurance_Salary</vt:lpstr>
      <vt:lpstr>Interest</vt:lpstr>
      <vt:lpstr>Interest_Percentage</vt:lpstr>
      <vt:lpstr>Legal_Age</vt:lpstr>
      <vt:lpstr>Legal_Year</vt:lpstr>
      <vt:lpstr>Month_Days</vt:lpstr>
      <vt:lpstr>New_Income</vt:lpstr>
      <vt:lpstr>New_Month</vt:lpstr>
      <vt:lpstr>New_Pension</vt:lpstr>
      <vt:lpstr>New_Year</vt:lpstr>
      <vt:lpstr>Old_Income</vt:lpstr>
      <vt:lpstr>Old_month</vt:lpstr>
      <vt:lpstr>Old_Pension</vt:lpstr>
      <vt:lpstr>Old_Year</vt:lpstr>
      <vt:lpstr>Org_Income</vt:lpstr>
      <vt:lpstr>RandF_Condition</vt:lpstr>
      <vt:lpstr>Reduction_Condition</vt:lpstr>
      <vt:lpstr>Reduction_Rate</vt:lpstr>
      <vt:lpstr>Replacement_Rate</vt:lpstr>
      <vt:lpstr>Retire_Condition</vt:lpstr>
      <vt:lpstr>Retire_Salary</vt:lpstr>
      <vt:lpstr>Salary_Point</vt:lpstr>
      <vt:lpstr>Tol_Income</vt:lpstr>
      <vt:lpstr>Way</vt:lpstr>
      <vt:lpstr>Working_Month2</vt:lpstr>
      <vt:lpstr>Working_Year</vt:lpstr>
      <vt:lpstr>Working_Year2</vt:lpstr>
      <vt:lpstr>Year_Index</vt:lpstr>
      <vt:lpstr>Year_Legal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金允文</dc:creator>
  <cp:lastModifiedBy>moejsmpc</cp:lastModifiedBy>
  <cp:lastPrinted>2017-07-24T01:55:17Z</cp:lastPrinted>
  <dcterms:created xsi:type="dcterms:W3CDTF">2017-07-04T08:06:04Z</dcterms:created>
  <dcterms:modified xsi:type="dcterms:W3CDTF">2017-07-25T07:37:12Z</dcterms:modified>
</cp:coreProperties>
</file>